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20" windowWidth="15600" windowHeight="7635"/>
  </bookViews>
  <sheets>
    <sheet name="Information &amp; Rules exmpt,Ded" sheetId="19" r:id="rId1"/>
    <sheet name="Home" sheetId="12" r:id="rId2"/>
    <sheet name="G.A. 55" sheetId="1" r:id="rId3"/>
    <sheet name="COMPUTATION" sheetId="13" r:id="rId4"/>
    <sheet name="Partial HRA" sheetId="18" r:id="rId5"/>
    <sheet name="16NO" sheetId="9" r:id="rId6"/>
    <sheet name="us89(1)form" sheetId="16" r:id="rId7"/>
    <sheet name="form10E" sheetId="17" r:id="rId8"/>
  </sheets>
  <definedNames>
    <definedName name="_0">#REF!</definedName>
    <definedName name="ay">#REF!</definedName>
    <definedName name="ayear">#REF!</definedName>
    <definedName name="Choice">#REF!</definedName>
    <definedName name="City">#REF!</definedName>
    <definedName name="Location">#REF!</definedName>
    <definedName name="Metro">#REF!</definedName>
    <definedName name="OLE_LINK1_2">'Information &amp; Rules exmpt,Ded'!#REF!</definedName>
    <definedName name="_xlnm.Print_Area" localSheetId="3">COMPUTATION!$A$1:$M$53</definedName>
    <definedName name="_xlnm.Print_Area" localSheetId="7">form10E!$A$1:$N$38</definedName>
    <definedName name="_xlnm.Print_Area" localSheetId="2">'G.A. 55'!$A$1:$U$32</definedName>
    <definedName name="_xlnm.Print_Area" localSheetId="1">Home!#REF!</definedName>
    <definedName name="_xlnm.Print_Area" localSheetId="4">'Partial HRA'!$M$4:$V$24</definedName>
    <definedName name="rstatus">#REF!</definedName>
  </definedNames>
  <calcPr calcId="144525"/>
</workbook>
</file>

<file path=xl/calcChain.xml><?xml version="1.0" encoding="utf-8"?>
<calcChain xmlns="http://schemas.openxmlformats.org/spreadsheetml/2006/main">
  <c r="L27" i="13" l="1"/>
  <c r="M4" i="13"/>
  <c r="D18" i="12"/>
  <c r="J9" i="18"/>
  <c r="N26" i="18"/>
  <c r="N14" i="18" s="1"/>
  <c r="D6" i="18"/>
  <c r="D7" i="18"/>
  <c r="D8" i="18"/>
  <c r="D5" i="18"/>
  <c r="D10" i="18"/>
  <c r="D11" i="18"/>
  <c r="D12" i="18"/>
  <c r="D13" i="18"/>
  <c r="D14" i="18"/>
  <c r="D15" i="18"/>
  <c r="D16" i="18"/>
  <c r="D9" i="18"/>
  <c r="N27" i="18" l="1"/>
  <c r="I22" i="1"/>
  <c r="D22" i="1"/>
  <c r="D16" i="1"/>
  <c r="D17" i="1"/>
  <c r="D18" i="1"/>
  <c r="D19" i="1"/>
  <c r="D15" i="1"/>
  <c r="B16" i="17" l="1"/>
  <c r="F81" i="9"/>
  <c r="D10" i="1"/>
  <c r="D11" i="1"/>
  <c r="D12" i="1"/>
  <c r="D13" i="1"/>
  <c r="D14" i="1"/>
  <c r="D9" i="1"/>
  <c r="L11" i="1"/>
  <c r="L12" i="1"/>
  <c r="L13" i="1"/>
  <c r="L14" i="1"/>
  <c r="L15" i="1"/>
  <c r="L16" i="1"/>
  <c r="L17" i="1"/>
  <c r="L18" i="1"/>
  <c r="L19" i="1"/>
  <c r="L10" i="1"/>
  <c r="E36" i="17"/>
  <c r="E35" i="17"/>
  <c r="E34" i="17"/>
  <c r="E33" i="17"/>
  <c r="E32" i="17"/>
  <c r="C32" i="17"/>
  <c r="I41" i="17" s="1"/>
  <c r="J41" i="17" s="1"/>
  <c r="C33" i="17"/>
  <c r="I42" i="17" s="1"/>
  <c r="J42" i="17" s="1"/>
  <c r="C36" i="17"/>
  <c r="I45" i="17" s="1"/>
  <c r="J45" i="17" s="1"/>
  <c r="C35" i="17"/>
  <c r="I44" i="17" s="1"/>
  <c r="J44" i="17" s="1"/>
  <c r="C34" i="17"/>
  <c r="I43" i="17" s="1"/>
  <c r="J43" i="17" s="1"/>
  <c r="D3" i="16"/>
  <c r="V8" i="18"/>
  <c r="O28" i="18" s="1"/>
  <c r="N29" i="18" s="1"/>
  <c r="O29" i="18" s="1"/>
  <c r="O30" i="18" s="1"/>
  <c r="N10" i="18"/>
  <c r="O11" i="18"/>
  <c r="N12" i="18"/>
  <c r="D16" i="16"/>
  <c r="H16" i="16"/>
  <c r="L8" i="17" s="1"/>
  <c r="L12" i="16"/>
  <c r="L13" i="16"/>
  <c r="L14" i="16"/>
  <c r="L15" i="16"/>
  <c r="L11" i="16"/>
  <c r="N15" i="18" l="1"/>
  <c r="L16" i="16"/>
  <c r="G33" i="17" l="1"/>
  <c r="K42" i="17" s="1"/>
  <c r="L42" i="17" s="1"/>
  <c r="G32" i="17"/>
  <c r="K41" i="17" s="1"/>
  <c r="L41" i="17" s="1"/>
  <c r="L21" i="17"/>
  <c r="D4" i="17"/>
  <c r="C17" i="18"/>
  <c r="E8" i="18"/>
  <c r="E9" i="18"/>
  <c r="E10" i="18"/>
  <c r="E11" i="18"/>
  <c r="E12" i="18"/>
  <c r="E13" i="18"/>
  <c r="E14" i="18"/>
  <c r="E15" i="18"/>
  <c r="E16" i="18"/>
  <c r="G36" i="17" l="1"/>
  <c r="K45" i="17" s="1"/>
  <c r="L45" i="17" s="1"/>
  <c r="I36" i="17"/>
  <c r="G35" i="17"/>
  <c r="K44" i="17" s="1"/>
  <c r="L44" i="17" s="1"/>
  <c r="G34" i="17"/>
  <c r="K43" i="17" s="1"/>
  <c r="L43" i="17" s="1"/>
  <c r="K33" i="17"/>
  <c r="K32" i="17"/>
  <c r="A1" i="1"/>
  <c r="A1" i="13" s="1"/>
  <c r="K36" i="17" l="1"/>
  <c r="M36" i="17" s="1"/>
  <c r="K35" i="17"/>
  <c r="I35" i="17"/>
  <c r="K34" i="17"/>
  <c r="I34" i="17"/>
  <c r="I33" i="17"/>
  <c r="M33" i="17" s="1"/>
  <c r="I32" i="17"/>
  <c r="M32" i="17" s="1"/>
  <c r="L8" i="1"/>
  <c r="L9" i="1"/>
  <c r="E78" i="9"/>
  <c r="L4" i="1"/>
  <c r="D4" i="1"/>
  <c r="B14" i="12" s="1"/>
  <c r="F111" i="9"/>
  <c r="M35" i="17" l="1"/>
  <c r="M34" i="17"/>
  <c r="C138" i="9"/>
  <c r="M37" i="17" l="1"/>
  <c r="L26" i="17" s="1"/>
  <c r="C134" i="9"/>
  <c r="H118" i="9" l="1"/>
  <c r="H117" i="9"/>
  <c r="H111" i="9"/>
  <c r="F95" i="9" l="1"/>
  <c r="C67" i="9" l="1"/>
  <c r="C66" i="9"/>
  <c r="C65" i="9"/>
  <c r="C137" i="9" s="1"/>
  <c r="C61" i="9" l="1"/>
  <c r="F60" i="9"/>
  <c r="F133" i="9" s="1"/>
  <c r="B57" i="9" l="1"/>
  <c r="I37" i="9"/>
  <c r="B37" i="9" l="1"/>
  <c r="I36" i="9"/>
  <c r="B36" i="9"/>
  <c r="I35" i="9"/>
  <c r="I34" i="9"/>
  <c r="I33" i="9"/>
  <c r="I32" i="9"/>
  <c r="I31" i="9"/>
  <c r="I30" i="9"/>
  <c r="I29" i="9"/>
  <c r="I28" i="9"/>
  <c r="I27" i="9" l="1"/>
  <c r="I26" i="9"/>
  <c r="I25" i="9" l="1"/>
  <c r="I24" i="9" l="1"/>
  <c r="D9" i="9" l="1"/>
  <c r="A9" i="9"/>
  <c r="A7" i="9"/>
  <c r="A6" i="9"/>
  <c r="F139" i="9" l="1"/>
  <c r="C139" i="9" s="1"/>
  <c r="B133" i="9"/>
  <c r="F67" i="9"/>
  <c r="B60" i="9"/>
  <c r="K50" i="13"/>
  <c r="E18" i="9" s="1"/>
  <c r="F18" i="9" s="1"/>
  <c r="I18" i="9" s="1"/>
  <c r="M36" i="13" l="1"/>
  <c r="M34" i="13"/>
  <c r="M33" i="13"/>
  <c r="M32" i="13"/>
  <c r="M31" i="13"/>
  <c r="I29" i="13"/>
  <c r="L28" i="13"/>
  <c r="G26" i="13"/>
  <c r="L25" i="13"/>
  <c r="G25" i="13"/>
  <c r="L24" i="13"/>
  <c r="L23" i="13"/>
  <c r="L22" i="13"/>
  <c r="G22" i="13"/>
  <c r="F105" i="9" s="1"/>
  <c r="L21" i="13"/>
  <c r="G21" i="13"/>
  <c r="L20" i="13"/>
  <c r="G20" i="13"/>
  <c r="L19" i="13"/>
  <c r="F102" i="9" l="1"/>
  <c r="F101" i="9"/>
  <c r="F104" i="9"/>
  <c r="F103" i="9"/>
  <c r="K14" i="13" l="1"/>
  <c r="I14" i="13"/>
  <c r="G14" i="13"/>
  <c r="E14" i="13"/>
  <c r="B14" i="13"/>
  <c r="I11" i="13"/>
  <c r="E88" i="9" l="1"/>
  <c r="G11" i="13"/>
  <c r="K9" i="13"/>
  <c r="M7" i="13"/>
  <c r="D11" i="13" l="1"/>
  <c r="J4" i="13"/>
  <c r="Q26" i="1"/>
  <c r="S25" i="1" l="1"/>
  <c r="H25" i="1"/>
  <c r="T25" i="1" l="1"/>
  <c r="S24" i="1"/>
  <c r="H24" i="1"/>
  <c r="S23" i="1"/>
  <c r="G23" i="1"/>
  <c r="H23" i="1" s="1"/>
  <c r="T24" i="1" l="1"/>
  <c r="T23" i="1"/>
  <c r="G26" i="1"/>
  <c r="S20" i="1" l="1"/>
  <c r="F19" i="1" l="1"/>
  <c r="F18" i="1"/>
  <c r="F17" i="1"/>
  <c r="F16" i="1" l="1"/>
  <c r="F15" i="1" l="1"/>
  <c r="F14" i="1" l="1"/>
  <c r="F13" i="1" l="1"/>
  <c r="F12" i="1" l="1"/>
  <c r="F11" i="1" l="1"/>
  <c r="F10" i="1" l="1"/>
  <c r="N9" i="1"/>
  <c r="K9" i="1" l="1"/>
  <c r="K10" i="1" l="1"/>
  <c r="K11" i="1" l="1"/>
  <c r="F9" i="1"/>
  <c r="R8" i="1"/>
  <c r="R9" i="1" s="1"/>
  <c r="P8" i="1"/>
  <c r="M8" i="1"/>
  <c r="J8" i="1"/>
  <c r="F8" i="1"/>
  <c r="F26" i="1" l="1"/>
  <c r="M9" i="1"/>
  <c r="K12" i="1"/>
  <c r="J9" i="1"/>
  <c r="J10" i="1" s="1"/>
  <c r="B24" i="9"/>
  <c r="C8" i="1"/>
  <c r="L7" i="1"/>
  <c r="T4" i="1"/>
  <c r="M3" i="13" s="1"/>
  <c r="D8" i="1" l="1"/>
  <c r="E8" i="1"/>
  <c r="K13" i="1"/>
  <c r="P9" i="1"/>
  <c r="B25" i="9"/>
  <c r="C9" i="1"/>
  <c r="J11" i="1"/>
  <c r="J3" i="13"/>
  <c r="F7" i="9" s="1"/>
  <c r="E3" i="13"/>
  <c r="D2" i="16" s="1"/>
  <c r="D3" i="17" s="1"/>
  <c r="O8" i="1" l="1"/>
  <c r="E5" i="18"/>
  <c r="E9" i="1"/>
  <c r="H8" i="1"/>
  <c r="F6" i="9"/>
  <c r="P10" i="1"/>
  <c r="N10" i="1" s="1"/>
  <c r="I8" i="1"/>
  <c r="J12" i="1"/>
  <c r="J13" i="1" s="1"/>
  <c r="K14" i="1"/>
  <c r="C10" i="1"/>
  <c r="D58" i="12"/>
  <c r="M35" i="13" s="1"/>
  <c r="F116" i="9" s="1"/>
  <c r="H116" i="9" s="1"/>
  <c r="O9" i="1" l="1"/>
  <c r="E6" i="18"/>
  <c r="D17" i="18"/>
  <c r="E10" i="1"/>
  <c r="C11" i="1"/>
  <c r="S8" i="1"/>
  <c r="T8" i="1" s="1"/>
  <c r="J14" i="1"/>
  <c r="K15" i="1"/>
  <c r="I9" i="1"/>
  <c r="S9" i="1" s="1"/>
  <c r="M10" i="1"/>
  <c r="H9" i="1"/>
  <c r="D29" i="12"/>
  <c r="O10" i="1" l="1"/>
  <c r="E7" i="18"/>
  <c r="E17" i="18" s="1"/>
  <c r="J13" i="18" s="1"/>
  <c r="J10" i="18" s="1"/>
  <c r="I11" i="1"/>
  <c r="C12" i="1"/>
  <c r="E11" i="1"/>
  <c r="O11" i="1" s="1"/>
  <c r="H10" i="1"/>
  <c r="T9" i="1"/>
  <c r="I10" i="1"/>
  <c r="J15" i="1"/>
  <c r="K16" i="1"/>
  <c r="D26" i="12"/>
  <c r="M17" i="18" l="1"/>
  <c r="P13" i="18"/>
  <c r="P19" i="18"/>
  <c r="J14" i="18"/>
  <c r="K14" i="18" s="1"/>
  <c r="E12" i="1"/>
  <c r="O12" i="1" s="1"/>
  <c r="H11" i="1"/>
  <c r="C20" i="1"/>
  <c r="C13" i="1"/>
  <c r="J16" i="1"/>
  <c r="K17" i="1"/>
  <c r="F2" i="12"/>
  <c r="E13" i="1" l="1"/>
  <c r="O13" i="1" s="1"/>
  <c r="I13" i="1"/>
  <c r="H12" i="1"/>
  <c r="J17" i="1"/>
  <c r="K18" i="1"/>
  <c r="C14" i="1"/>
  <c r="I12" i="1"/>
  <c r="E14" i="1" l="1"/>
  <c r="O14" i="1" s="1"/>
  <c r="H13" i="1"/>
  <c r="J18" i="1"/>
  <c r="K19" i="1"/>
  <c r="C15" i="1"/>
  <c r="I14" i="1"/>
  <c r="E15" i="1" l="1"/>
  <c r="O15" i="1" s="1"/>
  <c r="I15" i="1"/>
  <c r="H14" i="1"/>
  <c r="C16" i="1"/>
  <c r="J19" i="1"/>
  <c r="K26" i="1"/>
  <c r="E16" i="1" l="1"/>
  <c r="O16" i="1" s="1"/>
  <c r="H15" i="1"/>
  <c r="C17" i="1"/>
  <c r="E17" i="1" l="1"/>
  <c r="O17" i="1" s="1"/>
  <c r="I17" i="1"/>
  <c r="H16" i="1"/>
  <c r="J22" i="1"/>
  <c r="D20" i="1"/>
  <c r="H20" i="1" s="1"/>
  <c r="C18" i="1"/>
  <c r="I16" i="1"/>
  <c r="E18" i="1" l="1"/>
  <c r="O18" i="1" s="1"/>
  <c r="I18" i="1"/>
  <c r="H17" i="1"/>
  <c r="H22" i="1"/>
  <c r="C19" i="1"/>
  <c r="E19" i="1" l="1"/>
  <c r="O19" i="1" s="1"/>
  <c r="O26" i="1" s="1"/>
  <c r="I19" i="1"/>
  <c r="L26" i="1"/>
  <c r="H18" i="1"/>
  <c r="S22" i="1"/>
  <c r="T22" i="1" s="1"/>
  <c r="C26" i="1"/>
  <c r="E26" i="1" l="1"/>
  <c r="D25" i="12" s="1"/>
  <c r="H19" i="1"/>
  <c r="M11" i="1"/>
  <c r="M12" i="1" s="1"/>
  <c r="M13" i="1" s="1"/>
  <c r="N11" i="1"/>
  <c r="N12" i="1" s="1"/>
  <c r="P11" i="1"/>
  <c r="P12" i="1" s="1"/>
  <c r="P13" i="1" s="1"/>
  <c r="P14" i="1" s="1"/>
  <c r="R10" i="1"/>
  <c r="R11" i="1" s="1"/>
  <c r="D21" i="1"/>
  <c r="D26" i="1" s="1"/>
  <c r="D21" i="12" s="1"/>
  <c r="E77" i="9" s="1"/>
  <c r="I21" i="1"/>
  <c r="I26" i="1" s="1"/>
  <c r="T20" i="1"/>
  <c r="K11" i="13"/>
  <c r="E87" i="9" s="1"/>
  <c r="H88" i="9" s="1"/>
  <c r="H83" i="9"/>
  <c r="F97" i="9"/>
  <c r="F98" i="9"/>
  <c r="F99" i="9"/>
  <c r="M37" i="13"/>
  <c r="H120" i="9" s="1"/>
  <c r="F9" i="9"/>
  <c r="D4" i="16" s="1"/>
  <c r="D5" i="17" s="1"/>
  <c r="F107" i="9"/>
  <c r="F115" i="9"/>
  <c r="H115" i="9" s="1"/>
  <c r="F113" i="9"/>
  <c r="H113" i="9" s="1"/>
  <c r="F120" i="9"/>
  <c r="F112" i="9"/>
  <c r="H112" i="9" s="1"/>
  <c r="F114" i="9"/>
  <c r="H114" i="9" s="1"/>
  <c r="F119" i="9"/>
  <c r="H119" i="9" s="1"/>
  <c r="D52" i="12" l="1"/>
  <c r="M5" i="13"/>
  <c r="B26" i="9"/>
  <c r="S10" i="1"/>
  <c r="T10" i="1" s="1"/>
  <c r="H21" i="1"/>
  <c r="H26" i="1" s="1"/>
  <c r="J21" i="1"/>
  <c r="J26" i="1" s="1"/>
  <c r="G23" i="13" s="1"/>
  <c r="F93" i="9" s="1"/>
  <c r="M14" i="1"/>
  <c r="M15" i="1" s="1"/>
  <c r="N13" i="1"/>
  <c r="N14" i="1" s="1"/>
  <c r="N15" i="1" s="1"/>
  <c r="N16" i="1" s="1"/>
  <c r="N17" i="1" s="1"/>
  <c r="N18" i="1" s="1"/>
  <c r="N19" i="1" s="1"/>
  <c r="B27" i="9"/>
  <c r="R12" i="1"/>
  <c r="S11" i="1"/>
  <c r="T11" i="1" s="1"/>
  <c r="J120" i="9"/>
  <c r="D20" i="12"/>
  <c r="P15" i="1"/>
  <c r="P16" i="1" s="1"/>
  <c r="P17" i="1" s="1"/>
  <c r="P18" i="1" s="1"/>
  <c r="P19" i="1" s="1"/>
  <c r="D28" i="12"/>
  <c r="L18" i="13"/>
  <c r="F78" i="9"/>
  <c r="D77" i="9"/>
  <c r="M6" i="13" l="1"/>
  <c r="M8" i="13" s="1"/>
  <c r="M9" i="13" s="1"/>
  <c r="M11" i="13" s="1"/>
  <c r="M15" i="13" s="1"/>
  <c r="M38" i="13" s="1"/>
  <c r="D39" i="12"/>
  <c r="S21" i="1"/>
  <c r="T21" i="1" s="1"/>
  <c r="P26" i="1"/>
  <c r="G19" i="13" s="1"/>
  <c r="F96" i="9" s="1"/>
  <c r="R13" i="1"/>
  <c r="S13" i="1" s="1"/>
  <c r="T13" i="1" s="1"/>
  <c r="B28" i="9"/>
  <c r="S12" i="1"/>
  <c r="T12" i="1" s="1"/>
  <c r="N26" i="1"/>
  <c r="M16" i="1"/>
  <c r="F100" i="9"/>
  <c r="F106" i="9"/>
  <c r="F71" i="9" l="1"/>
  <c r="H74" i="9" s="1"/>
  <c r="H79" i="9" s="1"/>
  <c r="J84" i="9" s="1"/>
  <c r="J89" i="9" s="1"/>
  <c r="D47" i="12"/>
  <c r="R14" i="1"/>
  <c r="E50" i="13" s="1"/>
  <c r="E15" i="9" s="1"/>
  <c r="B29" i="9"/>
  <c r="M17" i="1"/>
  <c r="F15" i="9" l="1"/>
  <c r="R15" i="1"/>
  <c r="B30" i="9"/>
  <c r="S14" i="1"/>
  <c r="T14" i="1" s="1"/>
  <c r="M18" i="1"/>
  <c r="I15" i="9" l="1"/>
  <c r="B31" i="9"/>
  <c r="R16" i="1"/>
  <c r="S15" i="1"/>
  <c r="T15" i="1" s="1"/>
  <c r="M19" i="1"/>
  <c r="R17" i="1" l="1"/>
  <c r="M26" i="1"/>
  <c r="G18" i="13" s="1"/>
  <c r="L26" i="13" s="1"/>
  <c r="B32" i="9"/>
  <c r="S16" i="1"/>
  <c r="T16" i="1" s="1"/>
  <c r="R18" i="1" l="1"/>
  <c r="G50" i="13"/>
  <c r="E16" i="9" s="1"/>
  <c r="S18" i="1"/>
  <c r="T18" i="1" s="1"/>
  <c r="I50" i="13"/>
  <c r="B34" i="9"/>
  <c r="R19" i="1"/>
  <c r="S19" i="1" s="1"/>
  <c r="T19" i="1" s="1"/>
  <c r="F94" i="9"/>
  <c r="H105" i="9" s="1"/>
  <c r="J105" i="9" s="1"/>
  <c r="H107" i="9" s="1"/>
  <c r="J107" i="9" s="1"/>
  <c r="J121" i="9" s="1"/>
  <c r="J122" i="9" s="1"/>
  <c r="J123" i="9" s="1"/>
  <c r="F16" i="9"/>
  <c r="B33" i="9"/>
  <c r="S17" i="1"/>
  <c r="T17" i="1" s="1"/>
  <c r="B63" i="12"/>
  <c r="M26" i="13"/>
  <c r="R26" i="1" l="1"/>
  <c r="M50" i="13" s="1"/>
  <c r="J130" i="9" s="1"/>
  <c r="J50" i="13"/>
  <c r="E17" i="9" s="1"/>
  <c r="F17" i="9" s="1"/>
  <c r="I17" i="9" s="1"/>
  <c r="T26" i="1"/>
  <c r="B35" i="9"/>
  <c r="B38" i="9" s="1"/>
  <c r="I16" i="9"/>
  <c r="S26" i="1"/>
  <c r="M29" i="13"/>
  <c r="M39" i="13" s="1"/>
  <c r="M40" i="13" s="1"/>
  <c r="M41" i="13" s="1"/>
  <c r="C63" i="12"/>
  <c r="D32" i="12" l="1"/>
  <c r="M43" i="13"/>
  <c r="L5" i="16"/>
  <c r="G46" i="17" s="1"/>
  <c r="E19" i="9"/>
  <c r="M42" i="13"/>
  <c r="H124" i="9" s="1"/>
  <c r="J125" i="9" s="1"/>
  <c r="J126" i="9" s="1"/>
  <c r="J127" i="9" s="1"/>
  <c r="I19" i="9"/>
  <c r="B135" i="9" s="1"/>
  <c r="F19" i="9"/>
  <c r="D36" i="12"/>
  <c r="I47" i="17" l="1"/>
  <c r="J47" i="17" s="1"/>
  <c r="I46" i="17"/>
  <c r="L22" i="17"/>
  <c r="L20" i="17" s="1"/>
  <c r="B62" i="9"/>
  <c r="C135" i="9" s="1"/>
  <c r="M44" i="13"/>
  <c r="I48" i="17" l="1"/>
  <c r="J46" i="17"/>
  <c r="C62" i="9"/>
  <c r="F45" i="13"/>
  <c r="L45" i="13"/>
  <c r="J48" i="17" l="1"/>
  <c r="K48" i="17" s="1"/>
  <c r="M45" i="13"/>
  <c r="M46" i="13" s="1"/>
  <c r="L23" i="17" l="1"/>
  <c r="L24" i="17" l="1"/>
  <c r="L25" i="17" s="1"/>
  <c r="L27" i="17" s="1"/>
  <c r="C61" i="12" s="1"/>
  <c r="M47" i="13" s="1"/>
  <c r="J128" i="9" l="1"/>
  <c r="J129" i="9" s="1"/>
  <c r="M48" i="13"/>
  <c r="A131" i="9" l="1"/>
  <c r="J131" i="9"/>
  <c r="M51" i="13"/>
  <c r="C62" i="12" s="1"/>
  <c r="A51" i="13"/>
  <c r="B62" i="12" s="1"/>
</calcChain>
</file>

<file path=xl/sharedStrings.xml><?xml version="1.0" encoding="utf-8"?>
<sst xmlns="http://schemas.openxmlformats.org/spreadsheetml/2006/main" count="685" uniqueCount="604">
  <si>
    <t>MONTH</t>
  </si>
  <si>
    <t>DA</t>
  </si>
  <si>
    <t xml:space="preserve">HRA </t>
  </si>
  <si>
    <t>CCA</t>
  </si>
  <si>
    <t>Total</t>
  </si>
  <si>
    <t>SI</t>
  </si>
  <si>
    <t>LIC</t>
  </si>
  <si>
    <t>INCOME TAX</t>
  </si>
  <si>
    <t>TOTAL</t>
  </si>
  <si>
    <t>gLrk{kj deZpkjh</t>
  </si>
  <si>
    <t>cpr [kkrs ij C;kt</t>
  </si>
  <si>
    <t>vU; vk;</t>
  </si>
  <si>
    <t>Gross Pay</t>
  </si>
  <si>
    <t>Location of Residence</t>
  </si>
  <si>
    <t>If you live Metro select this list city</t>
  </si>
  <si>
    <t>edku ekfyd dk uke</t>
  </si>
  <si>
    <t>GPF</t>
  </si>
  <si>
    <t>PPF</t>
  </si>
  <si>
    <t>To</t>
  </si>
  <si>
    <t>Rs.</t>
  </si>
  <si>
    <t>Name and address of the Employer</t>
  </si>
  <si>
    <t>PAN of the Deductor</t>
  </si>
  <si>
    <t>PAN of the Employee</t>
  </si>
  <si>
    <t>CIT (TDS)</t>
  </si>
  <si>
    <t>From</t>
  </si>
  <si>
    <t>Allowance</t>
  </si>
  <si>
    <t>Income</t>
  </si>
  <si>
    <t>Gross Amount</t>
  </si>
  <si>
    <t>Deductible Amount</t>
  </si>
  <si>
    <t>12. Tax on total income</t>
  </si>
  <si>
    <t>Verification</t>
  </si>
  <si>
    <t>Place</t>
  </si>
  <si>
    <t>Date</t>
  </si>
  <si>
    <t>Signature of person responsible for deduction of tax</t>
  </si>
  <si>
    <t>jk"Vªh; cpr i= ij vnÙk C;kt</t>
  </si>
  <si>
    <t>LFkfxr okf"kZdh</t>
  </si>
  <si>
    <t>Qualifying Amount US80CCE (Max Rs 150000/)</t>
  </si>
  <si>
    <t>US 80 EE</t>
  </si>
  <si>
    <t>The Commissioner of Income Tax, Bikaner</t>
  </si>
  <si>
    <t>House Rent Allow. US10 (13 A)</t>
  </si>
  <si>
    <t>From House Property</t>
  </si>
  <si>
    <t>Saving Bank A/C interest</t>
  </si>
  <si>
    <t>PIN Code</t>
  </si>
  <si>
    <t>FORM NO. 16</t>
  </si>
  <si>
    <t>[(See Rule 31(1)(a)]</t>
  </si>
  <si>
    <t>PART-A</t>
  </si>
  <si>
    <t>Certificate under section 203 of the income-tax act, 1961 for Tax deducted at source on Salary.</t>
  </si>
  <si>
    <t>Name and adress of the Employee</t>
  </si>
  <si>
    <t>TAN of  the Deductor</t>
  </si>
  <si>
    <t>Employee Ref No.</t>
  </si>
  <si>
    <t>Assess. Year</t>
  </si>
  <si>
    <t>Peroid with the Employer</t>
  </si>
  <si>
    <t>Adress</t>
  </si>
  <si>
    <t>City</t>
  </si>
  <si>
    <t>BIKANER</t>
  </si>
  <si>
    <t>Summary of amount paid/credited and tax deducted at source thereon in respect of the employee</t>
  </si>
  <si>
    <t>Quarters</t>
  </si>
  <si>
    <t>Receipt Numbers of original quarterly statements of TDS under sub-secion (3) of section 200</t>
  </si>
  <si>
    <t>Amount paid/ credited</t>
  </si>
  <si>
    <t>Amount of tax deducted (Rs.)</t>
  </si>
  <si>
    <t>Amount of tax deposited/ remitted (Rs.)</t>
  </si>
  <si>
    <t>Ist</t>
  </si>
  <si>
    <t>IInd</t>
  </si>
  <si>
    <t>IIIrd</t>
  </si>
  <si>
    <t>IVth</t>
  </si>
  <si>
    <t>I. Details of tax deducted and deposited in the Central Government account through book adjustment</t>
  </si>
  <si>
    <t>(The Deductor to provide payment-wise details of tax deducted and deposited with respect to the deductee)</t>
  </si>
  <si>
    <t>S.N.</t>
  </si>
  <si>
    <t>Book identification number (BIN)</t>
  </si>
  <si>
    <t>Receipt numbers of form No. 24G</t>
  </si>
  <si>
    <t>DDO serial number in Form No. 24G</t>
  </si>
  <si>
    <t>Date of transfer voucher (dd/mm/yyyy)</t>
  </si>
  <si>
    <t>Status of matching with Form No. 24G</t>
  </si>
  <si>
    <t xml:space="preserve">II. Details of Tax deducted and deposited in Central Government Account through Challan. </t>
  </si>
  <si>
    <t>(The deducter to provide payment-wise details of tax deducted and deposited with respect to the deductee)</t>
  </si>
  <si>
    <t>Challan identification number (CIN)</t>
  </si>
  <si>
    <t>BSR code of the Bank Branch</t>
  </si>
  <si>
    <t>Date on which tax deposited (dd/mm/yyyy)</t>
  </si>
  <si>
    <t>Challan Serial Number</t>
  </si>
  <si>
    <t>Status of matching with OLTAS</t>
  </si>
  <si>
    <t>I</t>
  </si>
  <si>
    <t xml:space="preserve">working in the </t>
  </si>
  <si>
    <t xml:space="preserve">capacity of </t>
  </si>
  <si>
    <t xml:space="preserve">(designation) do hereby certify that a sum of </t>
  </si>
  <si>
    <t>Rs</t>
  </si>
  <si>
    <t xml:space="preserve">(in words) has been deducted </t>
  </si>
  <si>
    <t xml:space="preserve">and deposited to the credit of the Central Govt.. I further certify that the information given above is true, complete and </t>
  </si>
  <si>
    <t>Designation</t>
  </si>
  <si>
    <t>Full name</t>
  </si>
  <si>
    <t>PART- B (Annexure)</t>
  </si>
  <si>
    <t>DETAILS OF SALARY PAID AND ANY OTHER INCOME AND TAX DEDUCTED</t>
  </si>
  <si>
    <t>1. Gross salary</t>
  </si>
  <si>
    <t>(a) Salary as per provisions contained in section 17(1)</t>
  </si>
  <si>
    <t>(b) Value of perquisites u/s 17(2) (as per Form No. 12BA, wherever applicable)</t>
  </si>
  <si>
    <t>(c) Profits in lieu of salary under section 17(3) (as per Form No. 12BA, wherever applicable)</t>
  </si>
  <si>
    <t>2. Less: Allowance to the extent exempt u/s 10 House Rent Allowance</t>
  </si>
  <si>
    <t>3. Balance (1 - 2)</t>
  </si>
  <si>
    <t>4. Deductions: U/s 16</t>
  </si>
  <si>
    <t>(a)</t>
  </si>
  <si>
    <t>Entertainment allowance</t>
  </si>
  <si>
    <t>(b)</t>
  </si>
  <si>
    <t>Tax on employment</t>
  </si>
  <si>
    <t>6. Income chargeable under the head "salaries" (3-5)</t>
  </si>
  <si>
    <t xml:space="preserve">7. Add: Any other income reported by employee </t>
  </si>
  <si>
    <t>8. Gross total income (6+7)</t>
  </si>
  <si>
    <t>9. Deductions under Chapter VI A</t>
  </si>
  <si>
    <t>(A) Section 80C, 80CCC and 80CCD</t>
  </si>
  <si>
    <t>(a) Section 80C</t>
  </si>
  <si>
    <t>Gr. Acc. Insurance</t>
  </si>
  <si>
    <t>Notified Bond Of NABARD</t>
  </si>
  <si>
    <t>Tution Fee</t>
  </si>
  <si>
    <t>NSC + Interest on NSC</t>
  </si>
  <si>
    <t>Qualifying amount</t>
  </si>
  <si>
    <t>U/S 80CCG [New Rajiv Gandhi Equity saving Schm]</t>
  </si>
  <si>
    <t>U/S 80D</t>
  </si>
  <si>
    <t>U/S 80DD</t>
  </si>
  <si>
    <t>U/S 80DDB</t>
  </si>
  <si>
    <t>U/S 80E</t>
  </si>
  <si>
    <t>U/S 80G</t>
  </si>
  <si>
    <t>U/S 80GG</t>
  </si>
  <si>
    <t>U/S 80GGA</t>
  </si>
  <si>
    <t>U/S 80U</t>
  </si>
  <si>
    <t>US 80TTA [Exempt Saving Bank Int. Max. RS. 10,000/-]</t>
  </si>
  <si>
    <t xml:space="preserve">10. Aggregate of deductible amount under chapter VIA </t>
  </si>
  <si>
    <t>11. Total income (8-10)</t>
  </si>
  <si>
    <t>Mutual Fund</t>
  </si>
  <si>
    <t>Fixed Deposit above 5 years</t>
  </si>
  <si>
    <t>(B) Other Sections (e.g. 80E, 80G etc.) under Chapter VIA</t>
  </si>
  <si>
    <t>Employee's Details</t>
  </si>
  <si>
    <t>Name</t>
  </si>
  <si>
    <t>Office Name</t>
  </si>
  <si>
    <t>TAN No.</t>
  </si>
  <si>
    <t>PAN No.</t>
  </si>
  <si>
    <t>Father's Name</t>
  </si>
  <si>
    <t>A</t>
  </si>
  <si>
    <t>x`g lEifr ls izkIr fdjk;k &amp; vk;</t>
  </si>
  <si>
    <t xml:space="preserve">x`gdj </t>
  </si>
  <si>
    <t>jk"Vªh; cpr i= ij vnr C;kt</t>
  </si>
  <si>
    <t>ukckMZ }kjk vf/klwfpr ckW.M~l</t>
  </si>
  <si>
    <t>Tax Deposited</t>
  </si>
  <si>
    <t>edku fdjk;k NwV ds fy, jlhn dh vko';drk</t>
  </si>
  <si>
    <t>Other</t>
  </si>
  <si>
    <t>Bonus</t>
  </si>
  <si>
    <t xml:space="preserve">Other </t>
  </si>
  <si>
    <t>Gr Ins. Pre.</t>
  </si>
  <si>
    <t>/kkjk 89 ds rgr jkgr</t>
  </si>
  <si>
    <t>V~;w'ku Qhl ¼nks cPpksa ds fy,½</t>
  </si>
  <si>
    <t>fe;knh tek cSad o iksLV vkWfQl esa 5 o"kZ ;k vf/kd</t>
  </si>
  <si>
    <t>OTHER INCOME</t>
  </si>
  <si>
    <t>cSad o iksLV vkWfQl esa cpr [kkrs ij izkIr C;kt</t>
  </si>
  <si>
    <t>INVESTMENTS</t>
  </si>
  <si>
    <t>bUde VSDl ekfld dVkSrh ¼tks osru ls dkVk x;k½</t>
  </si>
  <si>
    <t>x`g _.k fdLr ewy</t>
  </si>
  <si>
    <t>x`g _.k fdLr C;kt</t>
  </si>
  <si>
    <t>thou chek dh okf"kZd izhfe;e ¼tks vkids }kjk tek djok;k x;k½</t>
  </si>
  <si>
    <t>thou chek dh ekfld izhfe;e ¼tks osru ls dkVk x;k½</t>
  </si>
  <si>
    <t>HRA</t>
  </si>
  <si>
    <t>CPF</t>
  </si>
  <si>
    <t>uke deZpkjh %</t>
  </si>
  <si>
    <t xml:space="preserve"> in %</t>
  </si>
  <si>
    <t xml:space="preserve">                                                              'ks"k ¼2&amp;3½</t>
  </si>
  <si>
    <t xml:space="preserve">                                                           'ks"k ¼4&amp;5½</t>
  </si>
  <si>
    <t>¼2½ izkIr fdjk;k #-</t>
  </si>
  <si>
    <t xml:space="preserve">¼c½ ?kVk;sa </t>
  </si>
  <si>
    <t xml:space="preserve"> x`gdj </t>
  </si>
  <si>
    <t xml:space="preserve">  ;ksx 7¼c½</t>
  </si>
  <si>
    <t>(i)</t>
  </si>
  <si>
    <t>(x)</t>
  </si>
  <si>
    <t>(ii)</t>
  </si>
  <si>
    <t>(xi)</t>
  </si>
  <si>
    <t>(iii)</t>
  </si>
  <si>
    <t>(xii)</t>
  </si>
  <si>
    <t>(iv)</t>
  </si>
  <si>
    <t>(xiii)</t>
  </si>
  <si>
    <t>(v)</t>
  </si>
  <si>
    <t>(xiv)</t>
  </si>
  <si>
    <t>(vi)</t>
  </si>
  <si>
    <t>(xv)</t>
  </si>
  <si>
    <t>(vii)</t>
  </si>
  <si>
    <t>(xvi)</t>
  </si>
  <si>
    <t>(viii)</t>
  </si>
  <si>
    <t>(xvii)</t>
  </si>
  <si>
    <t>(ix)</t>
  </si>
  <si>
    <t xml:space="preserve">                                                             dqy vk;dj ¼3$4½</t>
  </si>
  <si>
    <t xml:space="preserve"> vk;dj dVkSrh
 dk fooj.k</t>
  </si>
  <si>
    <t>gLrk{kj</t>
  </si>
  <si>
    <t>¼v½ x`g lEifÙk ls vk;% ¼1½ Lo;a ds mi;ksx esa &amp;'kwU;</t>
  </si>
  <si>
    <t>vU; óksrksa ls vk; %&amp;</t>
  </si>
  <si>
    <t>x`g _.k ij C;kt</t>
  </si>
  <si>
    <t>PAN NO :-</t>
  </si>
  <si>
    <r>
      <t xml:space="preserve">lSd.Mjh vkSj mPp f'k{kk vf/kHkkj </t>
    </r>
    <r>
      <rPr>
        <sz val="11"/>
        <rFont val="Times New Roman"/>
        <family val="1"/>
      </rPr>
      <t>1%</t>
    </r>
  </si>
  <si>
    <r>
      <t xml:space="preserve">f'k{kk midj  </t>
    </r>
    <r>
      <rPr>
        <sz val="11"/>
        <rFont val="Times New Roman"/>
        <family val="1"/>
      </rPr>
      <t>2%</t>
    </r>
  </si>
  <si>
    <t>dqy vk;dj ns;rk</t>
  </si>
  <si>
    <t xml:space="preserve"> 'ks"k vk;dj </t>
  </si>
  <si>
    <t>;g odZcqd f'k{kdksa dh mi;ksfxrk ds fy, rS;kj dh xbZ gSA ladyu ,oa x.kuk esa iw.kZ lko/kkuh j[khs xbZ gSA fQj Hkh =qfV ;k fdlh Hkh izdkj dh fofHkUurk dh fLFkfr esa vk;dj foHkkx ds fu;e gh ekU; gSA rS;kjdrkZ dk dksbZ mRrjnkf;Ro ugha gksxkA</t>
  </si>
  <si>
    <t>gLrk{kj vkgj.k ,oa forj.k vf/kdkjh</t>
  </si>
  <si>
    <t>Taxable Amt</t>
  </si>
  <si>
    <t>State Insurance</t>
  </si>
  <si>
    <t>LIC + ULIP + PLI</t>
  </si>
  <si>
    <t>(Roundup Figures of Rs 10)</t>
  </si>
  <si>
    <t>(d) Total  (a+b+c)</t>
  </si>
  <si>
    <t>Home Loan Installment (Capital)</t>
  </si>
  <si>
    <t>(A)</t>
  </si>
  <si>
    <t>Pension Plan (US80ccc+US 80CCD)(1)</t>
  </si>
  <si>
    <t>14. Tax payable (12-13)</t>
  </si>
  <si>
    <t xml:space="preserve">(in words) has beeen deducted and deposited to the </t>
  </si>
  <si>
    <t xml:space="preserve"> credit of the Central Government. I further certify that the information given above is true, complete and correct and is based on the books of account, documents, TDS statement, TDS deposited and other available records.</t>
  </si>
  <si>
    <t>Mail ID :- vijaysalasar2011@gmail.com</t>
  </si>
  <si>
    <t xml:space="preserve">Son/Daughter of </t>
  </si>
  <si>
    <t>GO To G.A. 55</t>
  </si>
  <si>
    <t>THIS SHEET IS COMPLETE</t>
  </si>
  <si>
    <r>
      <t xml:space="preserve">Tax Deposited in respect on of the deductee </t>
    </r>
    <r>
      <rPr>
        <b/>
        <sz val="8"/>
        <color indexed="8"/>
        <rFont val="Rupee Foradian"/>
        <family val="2"/>
      </rPr>
      <t>(Rs)</t>
    </r>
  </si>
  <si>
    <t>PAN NO.</t>
  </si>
  <si>
    <t>ldy vk;                                                            ;ksx ¼7$8½</t>
  </si>
  <si>
    <r>
      <rPr>
        <sz val="11"/>
        <rFont val="Kruti Dev 010"/>
      </rPr>
      <t>;ksx</t>
    </r>
    <r>
      <rPr>
        <sz val="11"/>
        <rFont val="Times New Roman"/>
        <family val="1"/>
      </rPr>
      <t xml:space="preserve"> 10(A+B+C)</t>
    </r>
  </si>
  <si>
    <t>dqy ;ksx 11 ¼ 1 ls 7 rd ½</t>
  </si>
  <si>
    <t xml:space="preserve"> vk;dj dh x.kuk </t>
  </si>
  <si>
    <t>5. Aggregate of 4 (a) and (b)</t>
  </si>
  <si>
    <t>13. Rebate U/s 87 A (Taxable Income below Rs. 5,00,000/-)</t>
  </si>
  <si>
    <t>15. Education cess @ 3% (on tax computed at S.No. 12)</t>
  </si>
  <si>
    <t>16. Tax payable (14+15) [Round off U/s 288 B]</t>
  </si>
  <si>
    <t>17. Less:- Relief under section 89 (Attach Form 10E)</t>
  </si>
  <si>
    <t>18. Tax payable (14-15)</t>
  </si>
  <si>
    <t>19. Tax deducted at source u/s 192 (1)</t>
  </si>
  <si>
    <t xml:space="preserve">If satisfied you this software share your friends.
</t>
  </si>
  <si>
    <t xml:space="preserve">Hello-Friends
I prepared a Calculator on  Excel Sheet as an Auto Tax Calculator to Calculate the tax, G.A.- 55, Assessment  &amp; 16 No. forms automatically in minutes for filling the ITR.
I distributed this Calculator to all the staff to understand the Tax Calculation &amp; other aspects.
I tried to make this simple excel calculator as a Software.                                                                                </t>
  </si>
  <si>
    <t>:: 2 ::</t>
  </si>
  <si>
    <t>correct and is based on the books of account, documents, TDS statement, TDS deposited and other available records.</t>
  </si>
  <si>
    <t>………………… 3</t>
  </si>
  <si>
    <t>:: 3 ::</t>
  </si>
  <si>
    <r>
      <rPr>
        <sz val="12"/>
        <rFont val="Times New Roman"/>
        <family val="1"/>
      </rPr>
      <t>NSC</t>
    </r>
    <r>
      <rPr>
        <sz val="12"/>
        <rFont val="Kruti Dev 010"/>
      </rPr>
      <t xml:space="preserve"> ij C;kt</t>
    </r>
  </si>
  <si>
    <r>
      <rPr>
        <sz val="12"/>
        <rFont val="Times New Roman"/>
        <family val="1"/>
      </rPr>
      <t xml:space="preserve">FDR </t>
    </r>
    <r>
      <rPr>
        <sz val="12"/>
        <rFont val="Kruti Dev 010"/>
      </rPr>
      <t>ls C;kt</t>
    </r>
  </si>
  <si>
    <r>
      <rPr>
        <sz val="12"/>
        <rFont val="Times New Roman"/>
        <family val="1"/>
      </rPr>
      <t xml:space="preserve">Bonds </t>
    </r>
    <r>
      <rPr>
        <sz val="12"/>
        <rFont val="Kruti Dev 010"/>
      </rPr>
      <t>ls C;kt</t>
    </r>
  </si>
  <si>
    <r>
      <t xml:space="preserve">jkT; chek </t>
    </r>
    <r>
      <rPr>
        <sz val="12"/>
        <rFont val="Calibri"/>
        <family val="2"/>
        <scheme val="minor"/>
      </rPr>
      <t>(SI)</t>
    </r>
  </si>
  <si>
    <r>
      <t xml:space="preserve">thou chek izhfe;e </t>
    </r>
    <r>
      <rPr>
        <sz val="12"/>
        <rFont val="Calibri"/>
        <family val="2"/>
        <scheme val="minor"/>
      </rPr>
      <t>(LIC)</t>
    </r>
  </si>
  <si>
    <r>
      <t xml:space="preserve">jk"Vªh; cpr i= </t>
    </r>
    <r>
      <rPr>
        <sz val="12"/>
        <rFont val="Calibri"/>
        <family val="2"/>
        <scheme val="minor"/>
      </rPr>
      <t>(NSC)</t>
    </r>
  </si>
  <si>
    <r>
      <t xml:space="preserve">yksd Hkfo"; fuf/k </t>
    </r>
    <r>
      <rPr>
        <sz val="12"/>
        <rFont val="Calibri"/>
        <family val="2"/>
        <scheme val="minor"/>
      </rPr>
      <t>(PPF)</t>
    </r>
  </si>
  <si>
    <r>
      <t xml:space="preserve">E;qpqvy QaM </t>
    </r>
    <r>
      <rPr>
        <sz val="12"/>
        <rFont val="Calibri"/>
        <family val="2"/>
        <scheme val="minor"/>
      </rPr>
      <t>(MF)</t>
    </r>
  </si>
  <si>
    <r>
      <t xml:space="preserve">lkekU; izko/kk;h fuf/k </t>
    </r>
    <r>
      <rPr>
        <sz val="12"/>
        <rFont val="Calibri"/>
        <family val="2"/>
        <scheme val="minor"/>
      </rPr>
      <t>(GPF)</t>
    </r>
  </si>
  <si>
    <r>
      <t>lkeqfgd chek izhfe;e</t>
    </r>
    <r>
      <rPr>
        <sz val="12"/>
        <rFont val="Calibri"/>
        <family val="2"/>
        <scheme val="minor"/>
      </rPr>
      <t>(G.Ins.)</t>
    </r>
  </si>
  <si>
    <r>
      <t xml:space="preserve">;w- ,y- vkbZ- ih- </t>
    </r>
    <r>
      <rPr>
        <sz val="11"/>
        <rFont val="Calibri"/>
        <family val="2"/>
        <scheme val="minor"/>
      </rPr>
      <t>(ULIP)</t>
    </r>
  </si>
  <si>
    <r>
      <t xml:space="preserve">x`g _.k fdLr </t>
    </r>
    <r>
      <rPr>
        <sz val="10"/>
        <rFont val="Calibri"/>
        <family val="2"/>
        <scheme val="minor"/>
      </rPr>
      <t>(CAPITAL)</t>
    </r>
  </si>
  <si>
    <r>
      <rPr>
        <sz val="12"/>
        <rFont val="Kruti Dev 010"/>
      </rPr>
      <t>;ksx</t>
    </r>
    <r>
      <rPr>
        <sz val="12"/>
        <rFont val="Times New Roman"/>
        <family val="1"/>
      </rPr>
      <t xml:space="preserve"> ( i </t>
    </r>
    <r>
      <rPr>
        <sz val="12"/>
        <rFont val="Kruti Dev 010"/>
      </rPr>
      <t>ls</t>
    </r>
    <r>
      <rPr>
        <sz val="12"/>
        <rFont val="Times New Roman"/>
        <family val="1"/>
      </rPr>
      <t xml:space="preserve"> xvii )</t>
    </r>
  </si>
  <si>
    <r>
      <t xml:space="preserve">ih-,y-vkbZ- </t>
    </r>
    <r>
      <rPr>
        <sz val="12"/>
        <rFont val="Calibri"/>
        <family val="2"/>
        <scheme val="minor"/>
      </rPr>
      <t>(PLI)</t>
    </r>
  </si>
  <si>
    <r>
      <t xml:space="preserve">3- /kkjk </t>
    </r>
    <r>
      <rPr>
        <sz val="10"/>
        <rFont val="Calibri"/>
        <family val="2"/>
        <scheme val="minor"/>
      </rPr>
      <t>80DDB</t>
    </r>
    <r>
      <rPr>
        <sz val="12"/>
        <rFont val="Kruti Dev 010"/>
      </rPr>
      <t xml:space="preserve"> fof'k"V jksxksa ds mipkj gsrq dVkSrh </t>
    </r>
    <r>
      <rPr>
        <sz val="9"/>
        <rFont val="Kruti Dev 010"/>
      </rPr>
      <t>¼vf/kdre :40]000] lhfu;j flVhtu gsrq : 60]000½</t>
    </r>
  </si>
  <si>
    <r>
      <t xml:space="preserve">4- /kkjk </t>
    </r>
    <r>
      <rPr>
        <sz val="10"/>
        <rFont val="Calibri"/>
        <family val="2"/>
        <scheme val="minor"/>
      </rPr>
      <t>80E</t>
    </r>
    <r>
      <rPr>
        <sz val="12"/>
        <rFont val="Kruti Dev 010"/>
      </rPr>
      <t xml:space="preserve"> mPp f'k{kk gsrq fy, _.k dk C;kt</t>
    </r>
  </si>
  <si>
    <r>
      <t xml:space="preserve">5- /kkjk </t>
    </r>
    <r>
      <rPr>
        <sz val="10"/>
        <rFont val="Calibri"/>
        <family val="2"/>
        <scheme val="minor"/>
      </rPr>
      <t>80G</t>
    </r>
    <r>
      <rPr>
        <sz val="12"/>
        <rFont val="Kruti Dev 010"/>
      </rPr>
      <t xml:space="preserve"> /kekZFkZ laLFkkvksa vkfn dks fn;s nku ¼ d Js.kh esa 100 izfr'kr ,oa [k Js.kh esa 50 izfr'kr½</t>
    </r>
  </si>
  <si>
    <r>
      <t xml:space="preserve">7- /kkjk </t>
    </r>
    <r>
      <rPr>
        <sz val="10"/>
        <rFont val="Calibri"/>
        <family val="2"/>
        <scheme val="minor"/>
      </rPr>
      <t>80 TTA</t>
    </r>
    <r>
      <rPr>
        <sz val="12"/>
        <rFont val="Kruti Dev 010"/>
      </rPr>
      <t xml:space="preserve"> cpr [kkrs ij izkIr C;kt vf/kdre :- </t>
    </r>
    <r>
      <rPr>
        <sz val="12"/>
        <rFont val="Calibri"/>
        <family val="2"/>
        <scheme val="minor"/>
      </rPr>
      <t xml:space="preserve">10,000 </t>
    </r>
    <r>
      <rPr>
        <sz val="10"/>
        <rFont val="Calibri"/>
        <family val="2"/>
        <scheme val="minor"/>
      </rPr>
      <t>(194(IA))</t>
    </r>
  </si>
  <si>
    <r>
      <t>dqy dVkSrh</t>
    </r>
    <r>
      <rPr>
        <sz val="12"/>
        <rFont val="Calibri"/>
        <family val="2"/>
        <scheme val="minor"/>
      </rPr>
      <t xml:space="preserve"> </t>
    </r>
    <r>
      <rPr>
        <sz val="10"/>
        <rFont val="Calibri"/>
        <family val="2"/>
        <scheme val="minor"/>
      </rPr>
      <t>( 10 + 11)</t>
    </r>
  </si>
  <si>
    <r>
      <t xml:space="preserve">dj ;ksX; vk; </t>
    </r>
    <r>
      <rPr>
        <sz val="10"/>
        <rFont val="Calibri"/>
        <family val="2"/>
        <scheme val="minor"/>
      </rPr>
      <t>( 9 - 12 )</t>
    </r>
  </si>
  <si>
    <r>
      <t xml:space="preserve">dqy vk; dh jkf'k dks lEiw.kZ djuk ¼ nl ds xq.kd esa ½ /kkjk </t>
    </r>
    <r>
      <rPr>
        <sz val="10"/>
        <rFont val="Calibri"/>
        <family val="2"/>
        <scheme val="minor"/>
      </rPr>
      <t>288A</t>
    </r>
  </si>
  <si>
    <r>
      <t xml:space="preserve">?kVkb;s  %&amp; jkgr /kkjk </t>
    </r>
    <r>
      <rPr>
        <sz val="10"/>
        <rFont val="Calibri"/>
        <family val="2"/>
        <scheme val="minor"/>
      </rPr>
      <t>89</t>
    </r>
    <r>
      <rPr>
        <sz val="12"/>
        <rFont val="Kruti Dev 010"/>
      </rPr>
      <t xml:space="preserve"> ds rgr </t>
    </r>
  </si>
  <si>
    <t>DDO Code</t>
  </si>
  <si>
    <r>
      <t>x`g fdjk;k] HkÙkk /kkjk 10¼13&amp;</t>
    </r>
    <r>
      <rPr>
        <sz val="10"/>
        <rFont val="Calibri"/>
        <family val="2"/>
        <scheme val="minor"/>
      </rPr>
      <t>A</t>
    </r>
    <r>
      <rPr>
        <sz val="12"/>
        <rFont val="Kruti Dev 010"/>
      </rPr>
      <t>½ ds vUrxZr ,oa /kkjk 10¼14½ ds vUrxZr vU; HkÙks tks dj eqDÙk gSA</t>
    </r>
  </si>
  <si>
    <r>
      <t xml:space="preserve"> ¼</t>
    </r>
    <r>
      <rPr>
        <sz val="12"/>
        <rFont val="Calibri"/>
        <family val="2"/>
        <scheme val="minor"/>
      </rPr>
      <t>i</t>
    </r>
    <r>
      <rPr>
        <sz val="12"/>
        <rFont val="Kruti Dev 010"/>
      </rPr>
      <t>½euksjatu HkÙkk /kkjk 16 ¼</t>
    </r>
    <r>
      <rPr>
        <sz val="12"/>
        <rFont val="Calibri"/>
        <family val="2"/>
        <scheme val="minor"/>
      </rPr>
      <t>ii</t>
    </r>
    <r>
      <rPr>
        <sz val="12"/>
        <rFont val="Kruti Dev 010"/>
      </rPr>
      <t>½ ds vUrxZr ¼ vf/kdre lhek : 5000 ½</t>
    </r>
  </si>
  <si>
    <r>
      <t xml:space="preserve"> fdjk;s dk </t>
    </r>
    <r>
      <rPr>
        <sz val="10"/>
        <rFont val="Calibri"/>
        <family val="2"/>
        <scheme val="minor"/>
      </rPr>
      <t>30%</t>
    </r>
  </si>
  <si>
    <t>www.vijayranwa.jimdo.com</t>
  </si>
  <si>
    <t xml:space="preserve">Prepared by : VIJAY RANWA TEACHER,  </t>
  </si>
  <si>
    <t>2015V</t>
  </si>
  <si>
    <t>BPGLP1184D</t>
  </si>
  <si>
    <r>
      <rPr>
        <sz val="16"/>
        <color theme="1"/>
        <rFont val="Times New Roman"/>
        <family val="1"/>
      </rPr>
      <t xml:space="preserve">4. HRA </t>
    </r>
    <r>
      <rPr>
        <sz val="16"/>
        <color theme="1"/>
        <rFont val="Kruti Dev 010"/>
      </rPr>
      <t>o vU; vk;dj lEcfU/kr fu;eksa ds fy, vki</t>
    </r>
    <r>
      <rPr>
        <sz val="16"/>
        <color theme="1"/>
        <rFont val="Times New Roman"/>
        <family val="1"/>
      </rPr>
      <t xml:space="preserve"> Website</t>
    </r>
    <r>
      <rPr>
        <sz val="16"/>
        <color theme="1"/>
        <rFont val="Kruti Dev 010"/>
      </rPr>
      <t xml:space="preserve"> ls </t>
    </r>
    <r>
      <rPr>
        <sz val="16"/>
        <color theme="1"/>
        <rFont val="Times New Roman"/>
        <family val="1"/>
      </rPr>
      <t>Income Tax Software</t>
    </r>
    <r>
      <rPr>
        <sz val="16"/>
        <color theme="1"/>
        <rFont val="Kruti Dev 010"/>
      </rPr>
      <t xml:space="preserve"> ds lkFk </t>
    </r>
    <r>
      <rPr>
        <sz val="16"/>
        <color theme="1"/>
        <rFont val="Times New Roman"/>
        <family val="1"/>
      </rPr>
      <t>Rule File</t>
    </r>
    <r>
      <rPr>
        <sz val="16"/>
        <color theme="1"/>
        <rFont val="Kruti Dev 010"/>
      </rPr>
      <t xml:space="preserve"> Hkh </t>
    </r>
    <r>
      <rPr>
        <sz val="16"/>
        <color theme="1"/>
        <rFont val="Times New Roman"/>
        <family val="1"/>
      </rPr>
      <t>Download</t>
    </r>
    <r>
      <rPr>
        <sz val="16"/>
        <color theme="1"/>
        <rFont val="Kruti Dev 010"/>
      </rPr>
      <t xml:space="preserve"> dj voyksdu dj ldrs gksA</t>
    </r>
  </si>
  <si>
    <t>Name Of Employee</t>
  </si>
  <si>
    <t>PAN No. -</t>
  </si>
  <si>
    <r>
      <t xml:space="preserve">th- ih- ,Q ekfld dVkSrh </t>
    </r>
    <r>
      <rPr>
        <sz val="16"/>
        <rFont val="Calibri"/>
        <family val="2"/>
        <scheme val="minor"/>
      </rPr>
      <t>(GPF)</t>
    </r>
  </si>
  <si>
    <r>
      <t>jkT; chek ekfld dVkSrh</t>
    </r>
    <r>
      <rPr>
        <sz val="16"/>
        <rFont val="Calibri"/>
        <family val="2"/>
        <scheme val="minor"/>
      </rPr>
      <t xml:space="preserve"> (SI)</t>
    </r>
  </si>
  <si>
    <r>
      <rPr>
        <sz val="16"/>
        <rFont val="Calibri"/>
        <family val="2"/>
        <scheme val="minor"/>
      </rPr>
      <t>HRA</t>
    </r>
    <r>
      <rPr>
        <sz val="16"/>
        <rFont val="Kruti Dev 010"/>
      </rPr>
      <t xml:space="preserve"> NwV ds fy, ekfld fdjk;k Hkqxrku dh jkf'k</t>
    </r>
  </si>
  <si>
    <r>
      <t>euksjatu Hkrk /kkjk 16 ¼</t>
    </r>
    <r>
      <rPr>
        <sz val="16"/>
        <rFont val="Calibri"/>
        <family val="2"/>
        <scheme val="minor"/>
      </rPr>
      <t>ii</t>
    </r>
    <r>
      <rPr>
        <sz val="16"/>
        <rFont val="Kruti Dev 010"/>
      </rPr>
      <t>½ ds vUrxZr ¼ vf/kdre lhek : 5000 ½</t>
    </r>
  </si>
  <si>
    <r>
      <t>O;o;k; dj /kkjk 16 ¼</t>
    </r>
    <r>
      <rPr>
        <sz val="16"/>
        <rFont val="Calibri"/>
        <family val="2"/>
        <scheme val="minor"/>
      </rPr>
      <t>iii</t>
    </r>
    <r>
      <rPr>
        <sz val="16"/>
        <rFont val="Kruti Dev 010"/>
      </rPr>
      <t xml:space="preserve">½ ds vUrxrZ </t>
    </r>
  </si>
  <si>
    <r>
      <rPr>
        <sz val="16"/>
        <rFont val="Calibri"/>
        <family val="2"/>
        <scheme val="minor"/>
      </rPr>
      <t xml:space="preserve">FDR </t>
    </r>
    <r>
      <rPr>
        <sz val="16"/>
        <rFont val="Kruti Dev 010"/>
      </rPr>
      <t>,oa</t>
    </r>
    <r>
      <rPr>
        <sz val="16"/>
        <rFont val="Calibri"/>
        <family val="2"/>
        <scheme val="minor"/>
      </rPr>
      <t xml:space="preserve"> RD</t>
    </r>
    <r>
      <rPr>
        <sz val="16"/>
        <rFont val="Kruti Dev 010"/>
      </rPr>
      <t xml:space="preserve"> ls izkIr C;kt</t>
    </r>
  </si>
  <si>
    <r>
      <rPr>
        <sz val="16"/>
        <rFont val="Calibri"/>
        <family val="2"/>
        <scheme val="minor"/>
      </rPr>
      <t>Bonds</t>
    </r>
    <r>
      <rPr>
        <sz val="16"/>
        <rFont val="Kruti Dev 010"/>
      </rPr>
      <t xml:space="preserve"> ls C;kt</t>
    </r>
  </si>
  <si>
    <r>
      <t xml:space="preserve">ih-,y-vkbZ-  </t>
    </r>
    <r>
      <rPr>
        <sz val="16"/>
        <color rgb="FFFF0000"/>
        <rFont val="Calibri"/>
        <family val="2"/>
        <scheme val="minor"/>
      </rPr>
      <t>(PLI)</t>
    </r>
  </si>
  <si>
    <r>
      <t>E;wpy Q.M</t>
    </r>
    <r>
      <rPr>
        <sz val="16"/>
        <color rgb="FFFF0000"/>
        <rFont val="Calibri"/>
        <family val="2"/>
        <scheme val="minor"/>
      </rPr>
      <t xml:space="preserve"> (MUTUAL FUND)</t>
    </r>
  </si>
  <si>
    <r>
      <t xml:space="preserve">;w- ,y- vkbZ- ih-@okf"kZd Iyku </t>
    </r>
    <r>
      <rPr>
        <sz val="16"/>
        <color rgb="FFFF0000"/>
        <rFont val="Calibri"/>
        <family val="2"/>
        <scheme val="minor"/>
      </rPr>
      <t>(ULIP)</t>
    </r>
  </si>
  <si>
    <r>
      <t>jk"Vªh; cpr i=</t>
    </r>
    <r>
      <rPr>
        <sz val="16"/>
        <color rgb="FFFF0000"/>
        <rFont val="Calibri"/>
        <family val="2"/>
        <scheme val="minor"/>
      </rPr>
      <t xml:space="preserve"> (NSC)</t>
    </r>
  </si>
  <si>
    <r>
      <t xml:space="preserve">yksd Hkfo"; fuf/k </t>
    </r>
    <r>
      <rPr>
        <sz val="16"/>
        <color rgb="FFFF0000"/>
        <rFont val="Calibri"/>
        <family val="2"/>
        <scheme val="minor"/>
      </rPr>
      <t>(PPF)</t>
    </r>
  </si>
  <si>
    <r>
      <t>isa'ku Iyku gsrq va'knku ¼/kkjk 80</t>
    </r>
    <r>
      <rPr>
        <sz val="16"/>
        <color rgb="FFFF0000"/>
        <rFont val="Calibri"/>
        <family val="2"/>
        <scheme val="minor"/>
      </rPr>
      <t>CCC</t>
    </r>
    <r>
      <rPr>
        <sz val="16"/>
        <color rgb="FFFF0000"/>
        <rFont val="Kruti Dev 010"/>
      </rPr>
      <t>½</t>
    </r>
  </si>
  <si>
    <r>
      <rPr>
        <sz val="16"/>
        <rFont val="Calibri"/>
        <family val="2"/>
        <scheme val="minor"/>
      </rPr>
      <t>US 80GG</t>
    </r>
    <r>
      <rPr>
        <sz val="16"/>
        <rFont val="Kruti Dev 010"/>
      </rPr>
      <t xml:space="preserve"> ¼Hkqxrku fd, x, Hkou fdjk;s ds ckjs es dVkSrh] vf/kdre 24000</t>
    </r>
  </si>
  <si>
    <r>
      <rPr>
        <sz val="16"/>
        <rFont val="Calibri"/>
        <family val="2"/>
        <scheme val="minor"/>
      </rPr>
      <t>US 80GGA</t>
    </r>
    <r>
      <rPr>
        <sz val="16"/>
        <rFont val="Kruti Dev 010"/>
      </rPr>
      <t xml:space="preserve"> ¼vuqeksfnr oSKkfud] lkekftd] xzkeh.k fodkl gsrq fn;k x;k nku½</t>
    </r>
  </si>
  <si>
    <r>
      <t xml:space="preserve">fpfdRlk chek izhfe;e ¼/kkjk </t>
    </r>
    <r>
      <rPr>
        <sz val="16"/>
        <rFont val="Calibri"/>
        <family val="2"/>
        <scheme val="minor"/>
      </rPr>
      <t>80D</t>
    </r>
    <r>
      <rPr>
        <sz val="16"/>
        <rFont val="Kruti Dev 010"/>
      </rPr>
      <t>½</t>
    </r>
  </si>
  <si>
    <r>
      <t xml:space="preserve">fodykax vkfJrksa ds fpfdRlk mipkj  ¼/kkjk </t>
    </r>
    <r>
      <rPr>
        <sz val="16"/>
        <rFont val="Calibri"/>
        <family val="2"/>
        <scheme val="minor"/>
      </rPr>
      <t>80DD</t>
    </r>
    <r>
      <rPr>
        <sz val="16"/>
        <rFont val="Kruti Dev 010"/>
      </rPr>
      <t>½</t>
    </r>
  </si>
  <si>
    <r>
      <t xml:space="preserve">fof'k"V jksxksa ds mipkj gsrq dVkSrh </t>
    </r>
    <r>
      <rPr>
        <sz val="16"/>
        <rFont val="Calibri"/>
        <family val="2"/>
        <scheme val="minor"/>
      </rPr>
      <t>80DDB</t>
    </r>
    <r>
      <rPr>
        <sz val="16"/>
        <rFont val="Kruti Dev 010"/>
      </rPr>
      <t xml:space="preserve"> ¼vf/kdre 40000 :½</t>
    </r>
  </si>
  <si>
    <r>
      <t xml:space="preserve">mPp f'k{kk gsrq fy, _.k dk C;kt ¼/kkjk </t>
    </r>
    <r>
      <rPr>
        <sz val="16"/>
        <rFont val="Calibri"/>
        <family val="2"/>
        <scheme val="minor"/>
      </rPr>
      <t>80E</t>
    </r>
    <r>
      <rPr>
        <sz val="16"/>
        <rFont val="Kruti Dev 010"/>
      </rPr>
      <t>½</t>
    </r>
  </si>
  <si>
    <r>
      <t xml:space="preserve">dsUnz o jkT; ljdkj dks fn;k x;k nku ¼d Js.kh esa </t>
    </r>
    <r>
      <rPr>
        <sz val="16"/>
        <rFont val="Calibri"/>
        <family val="2"/>
        <scheme val="minor"/>
      </rPr>
      <t>100%</t>
    </r>
    <r>
      <rPr>
        <sz val="16"/>
        <rFont val="Kruti Dev 010"/>
      </rPr>
      <t xml:space="preserve"> </t>
    </r>
    <r>
      <rPr>
        <sz val="16"/>
        <rFont val="Calibri"/>
        <family val="2"/>
        <scheme val="minor"/>
      </rPr>
      <t>US</t>
    </r>
    <r>
      <rPr>
        <sz val="16"/>
        <rFont val="Kruti Dev 010"/>
      </rPr>
      <t xml:space="preserve"> 80</t>
    </r>
    <r>
      <rPr>
        <sz val="16"/>
        <rFont val="Calibri"/>
        <family val="2"/>
        <scheme val="minor"/>
      </rPr>
      <t>G</t>
    </r>
    <r>
      <rPr>
        <sz val="16"/>
        <rFont val="Kruti Dev 010"/>
      </rPr>
      <t>½</t>
    </r>
  </si>
  <si>
    <r>
      <t>LFkkbZ :i ls 'kkjhfjd vleFkZrrk ¼/kkjk 80</t>
    </r>
    <r>
      <rPr>
        <sz val="16"/>
        <rFont val="Calibri"/>
        <family val="2"/>
        <scheme val="minor"/>
      </rPr>
      <t>U</t>
    </r>
    <r>
      <rPr>
        <sz val="16"/>
        <rFont val="Kruti Dev 010"/>
      </rPr>
      <t>½</t>
    </r>
  </si>
  <si>
    <r>
      <t>eafnj] efLtn vkSj xkS'kkyk esa fn;k x;k nku ¼[k Js.kh esa 50</t>
    </r>
    <r>
      <rPr>
        <sz val="16"/>
        <rFont val="Calibri"/>
        <family val="2"/>
        <scheme val="minor"/>
      </rPr>
      <t>%</t>
    </r>
    <r>
      <rPr>
        <sz val="16"/>
        <rFont val="Kruti Dev 010"/>
      </rPr>
      <t xml:space="preserve"> </t>
    </r>
    <r>
      <rPr>
        <sz val="16"/>
        <rFont val="Calibri"/>
        <family val="2"/>
        <scheme val="minor"/>
      </rPr>
      <t>US</t>
    </r>
    <r>
      <rPr>
        <sz val="16"/>
        <rFont val="Kruti Dev 010"/>
      </rPr>
      <t xml:space="preserve"> 80</t>
    </r>
    <r>
      <rPr>
        <sz val="16"/>
        <rFont val="Calibri"/>
        <family val="2"/>
        <scheme val="minor"/>
      </rPr>
      <t>G</t>
    </r>
    <r>
      <rPr>
        <sz val="16"/>
        <rFont val="Kruti Dev 010"/>
      </rPr>
      <t>½</t>
    </r>
  </si>
  <si>
    <r>
      <rPr>
        <sz val="16"/>
        <color theme="1"/>
        <rFont val="Calibri"/>
        <family val="2"/>
        <scheme val="minor"/>
      </rPr>
      <t xml:space="preserve">5. NPS </t>
    </r>
    <r>
      <rPr>
        <sz val="16"/>
        <color theme="1"/>
        <rFont val="Kruti Dev 010"/>
      </rPr>
      <t xml:space="preserve">esa </t>
    </r>
    <r>
      <rPr>
        <sz val="16"/>
        <color theme="1"/>
        <rFont val="Calibri"/>
        <family val="2"/>
        <scheme val="minor"/>
      </rPr>
      <t>Government contribution</t>
    </r>
    <r>
      <rPr>
        <sz val="16"/>
        <color theme="1"/>
        <rFont val="Kruti Dev 010"/>
      </rPr>
      <t xml:space="preserve"> की राशि पहले आप की कुल आय में जुड़ेगी फिर यह राशि  </t>
    </r>
    <r>
      <rPr>
        <sz val="16"/>
        <color theme="1"/>
        <rFont val="Calibri"/>
        <family val="2"/>
        <scheme val="minor"/>
      </rPr>
      <t>US80CCD(2)</t>
    </r>
    <r>
      <rPr>
        <sz val="16"/>
        <color theme="1"/>
        <rFont val="Kruti Dev 010"/>
      </rPr>
      <t xml:space="preserve"> के तहत छूट योग्य होगीA और यह छूट</t>
    </r>
    <r>
      <rPr>
        <sz val="16"/>
        <color theme="1"/>
        <rFont val="Calibri"/>
        <family val="2"/>
        <scheme val="minor"/>
      </rPr>
      <t xml:space="preserve"> US 80CCE</t>
    </r>
    <r>
      <rPr>
        <sz val="16"/>
        <color theme="1"/>
        <rFont val="Kruti Dev 010"/>
      </rPr>
      <t xml:space="preserve"> के तहत मिलने वाली </t>
    </r>
    <r>
      <rPr>
        <sz val="16"/>
        <color theme="1"/>
        <rFont val="Calibri"/>
        <family val="2"/>
        <scheme val="minor"/>
      </rPr>
      <t>1.5</t>
    </r>
    <r>
      <rPr>
        <sz val="16"/>
        <color theme="1"/>
        <rFont val="Kruti Dev 010"/>
      </rPr>
      <t xml:space="preserve"> लाख की छूट के अलावा होगीA</t>
    </r>
  </si>
  <si>
    <r>
      <t xml:space="preserve">16 No. Form  </t>
    </r>
    <r>
      <rPr>
        <b/>
        <sz val="16"/>
        <color rgb="FF0070C0"/>
        <rFont val="Kruti Dev 010"/>
      </rPr>
      <t>rS;kj djus ds fy, fuEu dkWyeks dh iwfrZ djsaA</t>
    </r>
  </si>
  <si>
    <r>
      <rPr>
        <b/>
        <i/>
        <sz val="14"/>
        <rFont val="Arial"/>
        <family val="2"/>
      </rPr>
      <t>Enter the Data in</t>
    </r>
    <r>
      <rPr>
        <b/>
        <i/>
        <sz val="14"/>
        <color indexed="18"/>
        <rFont val="Arial"/>
        <family val="2"/>
      </rPr>
      <t xml:space="preserve"> </t>
    </r>
    <r>
      <rPr>
        <b/>
        <i/>
        <sz val="14"/>
        <color indexed="10"/>
        <rFont val="Arial"/>
        <family val="2"/>
      </rPr>
      <t xml:space="preserve">                     Other cells will calculate data &amp; Tax automatically.</t>
    </r>
    <r>
      <rPr>
        <b/>
        <i/>
        <sz val="14"/>
        <rFont val="Arial"/>
        <family val="2"/>
      </rPr>
      <t xml:space="preserve">   </t>
    </r>
    <r>
      <rPr>
        <b/>
        <i/>
        <sz val="14"/>
        <color indexed="10"/>
        <rFont val="Arial"/>
        <family val="2"/>
      </rPr>
      <t xml:space="preserve">    </t>
    </r>
  </si>
  <si>
    <t>Employer / DDO Details</t>
  </si>
  <si>
    <t>Deductions</t>
  </si>
  <si>
    <t>S. No.</t>
  </si>
  <si>
    <t>BASIC</t>
  </si>
  <si>
    <t>SI Loan</t>
  </si>
  <si>
    <t>Net Payment</t>
  </si>
  <si>
    <t>This tax calculator will help you to calculate the Income Tax and clear any related rule in very less time &amp; less efforts.</t>
  </si>
  <si>
    <t>HEADMASTER</t>
  </si>
  <si>
    <t>GOVT HIGHER SECONDARY SCHOOL AMARPURA</t>
  </si>
  <si>
    <t>AMARPURA</t>
  </si>
  <si>
    <t>ALTAF AHAMAD KHAN</t>
  </si>
  <si>
    <r>
      <t xml:space="preserve">2- vkidks dsoy </t>
    </r>
    <r>
      <rPr>
        <sz val="16"/>
        <color rgb="FFFF0000"/>
        <rFont val="Times New Roman"/>
        <family val="1"/>
      </rPr>
      <t>Home</t>
    </r>
    <r>
      <rPr>
        <sz val="16"/>
        <color rgb="FFFF0000"/>
        <rFont val="Kruti Dev 010"/>
      </rPr>
      <t xml:space="preserve"> </t>
    </r>
    <r>
      <rPr>
        <sz val="16"/>
        <color rgb="FFFF0000"/>
        <rFont val="Times New Roman"/>
        <family val="1"/>
      </rPr>
      <t>sheet</t>
    </r>
    <r>
      <rPr>
        <sz val="16"/>
        <color rgb="FFFF0000"/>
        <rFont val="Kruti Dev 010"/>
      </rPr>
      <t xml:space="preserve"> esa MkVk Hkjuk gSA vU; </t>
    </r>
    <r>
      <rPr>
        <sz val="16"/>
        <color rgb="FFFF0000"/>
        <rFont val="Times New Roman"/>
        <family val="1"/>
      </rPr>
      <t>sheet Automatic complete</t>
    </r>
    <r>
      <rPr>
        <sz val="16"/>
        <color rgb="FFFF0000"/>
        <rFont val="Kruti Dev 010"/>
      </rPr>
      <t xml:space="preserve"> gks tk;sxh vr% ogka fdlh çdkj dk ifjorZu ugha gksxk </t>
    </r>
  </si>
  <si>
    <r>
      <t xml:space="preserve">;fn vki edku fdjk, HkÙks ij VSDl dh NwV pkgrs gSa rks lsy </t>
    </r>
    <r>
      <rPr>
        <b/>
        <sz val="14"/>
        <rFont val="Calibri"/>
        <family val="2"/>
        <scheme val="minor"/>
      </rPr>
      <t>C20</t>
    </r>
    <r>
      <rPr>
        <b/>
        <sz val="14"/>
        <color rgb="FFFF0000"/>
        <rFont val="Kruti Dev 010"/>
      </rPr>
      <t xml:space="preserve"> esa vkidks ekfld Hkqxrku fd, x;s fdjk, dh jkf'k fy[kuh gSA lsy </t>
    </r>
    <r>
      <rPr>
        <b/>
        <sz val="14"/>
        <color rgb="FF00B0F0"/>
        <rFont val="Calibri"/>
        <family val="2"/>
        <scheme val="minor"/>
      </rPr>
      <t>D20</t>
    </r>
    <r>
      <rPr>
        <b/>
        <sz val="14"/>
        <color rgb="FFFF0000"/>
        <rFont val="Kruti Dev 010"/>
      </rPr>
      <t xml:space="preserve"> vkidks feyus okyh vf/kdre NwV ds fy, ekfld fdjk;k Hkjus dh jkf'k crk,xhA lsy </t>
    </r>
    <r>
      <rPr>
        <b/>
        <sz val="12"/>
        <color rgb="FFFF0000"/>
        <rFont val="Calibri"/>
        <family val="2"/>
        <scheme val="minor"/>
      </rPr>
      <t>D21</t>
    </r>
    <r>
      <rPr>
        <b/>
        <sz val="14"/>
        <color rgb="FFFF0000"/>
        <rFont val="Kruti Dev 010"/>
      </rPr>
      <t xml:space="preserve"> vkidks ml jkf'k ij feyus okyh NwV dh jkf'k crk,xhA lsy </t>
    </r>
    <r>
      <rPr>
        <b/>
        <sz val="12"/>
        <color rgb="FFFF0000"/>
        <rFont val="Calibri"/>
        <family val="2"/>
        <scheme val="minor"/>
      </rPr>
      <t>D24</t>
    </r>
    <r>
      <rPr>
        <b/>
        <sz val="14"/>
        <color rgb="FFFF0000"/>
        <rFont val="Kruti Dev 010"/>
      </rPr>
      <t xml:space="preserve"> esa ml jkf'k dk izn'kZu gksrk gS ftl ij vkidks vf/kdre NwV feysxhA ;g vf/kdre NwV vkidks feyus okys edku fdjk, HkÙks dh okf"kZd jkf'k ds cjkcj gksxhA</t>
    </r>
  </si>
  <si>
    <r>
      <t xml:space="preserve">3- vki ;g vkSj vU; </t>
    </r>
    <r>
      <rPr>
        <sz val="16"/>
        <color rgb="FF0070C0"/>
        <rFont val="Times New Roman"/>
        <family val="1"/>
      </rPr>
      <t xml:space="preserve">Software www.gssamarpura.jimdo.com </t>
    </r>
    <r>
      <rPr>
        <sz val="16"/>
        <color rgb="FF0070C0"/>
        <rFont val="Kruti Dev 010"/>
      </rPr>
      <t xml:space="preserve"> ls </t>
    </r>
    <r>
      <rPr>
        <sz val="16"/>
        <color rgb="FF0070C0"/>
        <rFont val="Calibri"/>
        <family val="2"/>
        <scheme val="minor"/>
      </rPr>
      <t>Download</t>
    </r>
    <r>
      <rPr>
        <sz val="16"/>
        <color rgb="FF0070C0"/>
        <rFont val="Kruti Dev 010"/>
      </rPr>
      <t xml:space="preserve"> dj ldrs gksaA</t>
    </r>
  </si>
  <si>
    <t>lqdU;k lef) ;kstuk esa fuos'k</t>
  </si>
  <si>
    <r>
      <t xml:space="preserve">2- /kkjk </t>
    </r>
    <r>
      <rPr>
        <sz val="10"/>
        <rFont val="Calibri"/>
        <family val="2"/>
        <scheme val="minor"/>
      </rPr>
      <t>80DD</t>
    </r>
    <r>
      <rPr>
        <sz val="12"/>
        <rFont val="Kruti Dev 010"/>
      </rPr>
      <t xml:space="preserve"> fodykax vkfJrksa ds fpfdRlk mipkj </t>
    </r>
    <r>
      <rPr>
        <sz val="9"/>
        <rFont val="Kruti Dev 010"/>
      </rPr>
      <t xml:space="preserve">¼vf/kdre 75]000 rFkk </t>
    </r>
    <r>
      <rPr>
        <sz val="9"/>
        <rFont val="Calibri"/>
        <family val="2"/>
        <scheme val="minor"/>
      </rPr>
      <t>80%</t>
    </r>
    <r>
      <rPr>
        <sz val="9"/>
        <rFont val="Kruti Dev 010"/>
      </rPr>
      <t xml:space="preserve"> fodykaxrk ij 125]000½</t>
    </r>
  </si>
  <si>
    <r>
      <t xml:space="preserve">6- /kkjk </t>
    </r>
    <r>
      <rPr>
        <sz val="10"/>
        <rFont val="Calibri"/>
        <family val="2"/>
        <scheme val="minor"/>
      </rPr>
      <t>80U</t>
    </r>
    <r>
      <rPr>
        <sz val="12"/>
        <rFont val="Kruti Dev 010"/>
      </rPr>
      <t xml:space="preserve"> LFkkbZ :i ls 'kkjhfjd vleFkZrk dh n'kk esa </t>
    </r>
    <r>
      <rPr>
        <sz val="9"/>
        <rFont val="Kruti Dev 010"/>
      </rPr>
      <t>¼vf/kdre</t>
    </r>
    <r>
      <rPr>
        <sz val="9"/>
        <rFont val="Calibri"/>
        <family val="2"/>
        <scheme val="minor"/>
      </rPr>
      <t xml:space="preserve"> 75000</t>
    </r>
    <r>
      <rPr>
        <sz val="9"/>
        <rFont val="Kruti Dev 010"/>
      </rPr>
      <t xml:space="preserve"> rFkk </t>
    </r>
    <r>
      <rPr>
        <sz val="9"/>
        <rFont val="Calibri"/>
        <family val="2"/>
        <scheme val="minor"/>
      </rPr>
      <t xml:space="preserve"> 80%</t>
    </r>
    <r>
      <rPr>
        <sz val="9"/>
        <rFont val="Kruti Dev 010"/>
      </rPr>
      <t xml:space="preserve"> ij </t>
    </r>
    <r>
      <rPr>
        <sz val="8"/>
        <rFont val="Calibri"/>
        <family val="2"/>
        <scheme val="minor"/>
      </rPr>
      <t>125000</t>
    </r>
    <r>
      <rPr>
        <sz val="9"/>
        <rFont val="Kruti Dev 010"/>
      </rPr>
      <t>½</t>
    </r>
  </si>
  <si>
    <t>lqdU;k le`f) [kkrs esa fuos'k</t>
  </si>
  <si>
    <t>Sukanya Samridhi A/C</t>
  </si>
  <si>
    <t>Bikaner</t>
  </si>
  <si>
    <t>Non-Metro</t>
  </si>
  <si>
    <t>www.gssamarpura.jimdo.com</t>
  </si>
  <si>
    <t>Email- vijaysalasar2011@gmail.com</t>
  </si>
  <si>
    <r>
      <rPr>
        <sz val="12"/>
        <rFont val="Kruti Dev 010"/>
      </rPr>
      <t>?kVkbZ;s dVkSSfr;k¡ %&amp; /kkjk</t>
    </r>
    <r>
      <rPr>
        <sz val="12"/>
        <rFont val="Arial"/>
        <family val="2"/>
      </rPr>
      <t xml:space="preserve"> </t>
    </r>
    <r>
      <rPr>
        <sz val="12"/>
        <rFont val="Calibri"/>
        <family val="2"/>
        <scheme val="minor"/>
      </rPr>
      <t xml:space="preserve">US </t>
    </r>
    <r>
      <rPr>
        <sz val="10"/>
        <rFont val="Arial"/>
        <family val="2"/>
      </rPr>
      <t>80C, 80CCC,80CCD (1)</t>
    </r>
  </si>
  <si>
    <r>
      <rPr>
        <sz val="10"/>
        <rFont val="Arial"/>
        <family val="2"/>
      </rPr>
      <t>(A)</t>
    </r>
    <r>
      <rPr>
        <sz val="12"/>
        <rFont val="Arial"/>
        <family val="2"/>
      </rPr>
      <t xml:space="preserve"> </t>
    </r>
    <r>
      <rPr>
        <sz val="12"/>
        <rFont val="Kruti Dev 010"/>
      </rPr>
      <t xml:space="preserve">vf/kdre lhek 1]50]000@&amp; ¼/kkjk </t>
    </r>
    <r>
      <rPr>
        <sz val="12"/>
        <rFont val="Calibri"/>
        <family val="2"/>
        <scheme val="minor"/>
      </rPr>
      <t>80CCE,</t>
    </r>
    <r>
      <rPr>
        <sz val="12"/>
        <rFont val="Kruti Dev 010"/>
      </rPr>
      <t xml:space="preserve"> </t>
    </r>
    <r>
      <rPr>
        <sz val="10"/>
        <rFont val="Arial"/>
        <family val="2"/>
      </rPr>
      <t>80CCD(2)</t>
    </r>
    <r>
      <rPr>
        <sz val="12"/>
        <rFont val="Arial"/>
        <family val="2"/>
      </rPr>
      <t xml:space="preserve"> </t>
    </r>
    <r>
      <rPr>
        <sz val="12"/>
        <rFont val="Kruti Dev 010"/>
      </rPr>
      <t xml:space="preserve">o </t>
    </r>
    <r>
      <rPr>
        <sz val="12"/>
        <rFont val="Calibri"/>
        <family val="2"/>
        <scheme val="minor"/>
      </rPr>
      <t>80CCD(1B)</t>
    </r>
    <r>
      <rPr>
        <sz val="12"/>
        <rFont val="Kruti Dev 010"/>
      </rPr>
      <t xml:space="preserve"> ds vykok</t>
    </r>
  </si>
  <si>
    <t xml:space="preserve"> vU; dVkSfr;k¡ %&amp;</t>
  </si>
  <si>
    <r>
      <t xml:space="preserve">1- /kkjk </t>
    </r>
    <r>
      <rPr>
        <sz val="10"/>
        <rFont val="Calibri"/>
        <family val="2"/>
        <scheme val="minor"/>
      </rPr>
      <t>80D</t>
    </r>
    <r>
      <rPr>
        <sz val="12"/>
        <rFont val="Kruti Dev 010"/>
      </rPr>
      <t xml:space="preserve"> fpfdRlk chek izhfe;e </t>
    </r>
    <r>
      <rPr>
        <sz val="9"/>
        <rFont val="Kruti Dev 010"/>
      </rPr>
      <t>¼vf/kdre nks cPpksa ds fy, :25000]ekrk&amp;firk ds fy, :25000 lhfu;j flVhtu :30000½</t>
    </r>
  </si>
  <si>
    <r>
      <t xml:space="preserve">uohu isa'ku ;kstuk esa va'knku </t>
    </r>
    <r>
      <rPr>
        <sz val="11"/>
        <rFont val="Calibri"/>
        <family val="2"/>
        <scheme val="minor"/>
      </rPr>
      <t>CPF</t>
    </r>
  </si>
  <si>
    <t>2017-18</t>
  </si>
  <si>
    <t>01-4-2016</t>
  </si>
  <si>
    <t>31-03-2017</t>
  </si>
  <si>
    <r>
      <rPr>
        <sz val="18"/>
        <color theme="0"/>
        <rFont val="Kruti Dev 010"/>
      </rPr>
      <t>fot; j.koka] v/;kid jktdh; ek/;fed fo|ky;] /kus: chdkusj jkt0</t>
    </r>
    <r>
      <rPr>
        <sz val="18"/>
        <color theme="0"/>
        <rFont val="DevLys 010"/>
      </rPr>
      <t xml:space="preserve">
</t>
    </r>
    <r>
      <rPr>
        <sz val="18"/>
        <color theme="0"/>
        <rFont val="Kruti Dev 010"/>
      </rPr>
      <t>eks0&amp;</t>
    </r>
    <r>
      <rPr>
        <sz val="18"/>
        <color theme="0"/>
        <rFont val="Calibri"/>
        <family val="2"/>
        <scheme val="minor"/>
      </rPr>
      <t>9024228324,   email- vijaysalasar2011@gmail.com</t>
    </r>
  </si>
  <si>
    <t>Bill No. &amp; Date</t>
  </si>
  <si>
    <t xml:space="preserve">   DHANERU, SRIDUNGARGARH (BIKANER) Mo.- 9024228324, 9828113904</t>
  </si>
  <si>
    <t>RECEIPT OF HOUSE RENT</t>
  </si>
  <si>
    <t>(Under section 1 (13-A) of Income Tax Act)</t>
  </si>
  <si>
    <t>Date :-</t>
  </si>
  <si>
    <t>The sum of RS. -</t>
  </si>
  <si>
    <t>(Signature of House Owner)</t>
  </si>
  <si>
    <t>THIS SOFTWARE MADE BY VIJAY RANWA</t>
  </si>
  <si>
    <t xml:space="preserve"> TEACHER GOVT SECONDARY SCHOOL DHANERU, BIKANER</t>
  </si>
  <si>
    <r>
      <t xml:space="preserve">vki </t>
    </r>
    <r>
      <rPr>
        <sz val="16"/>
        <color rgb="FFFF0000"/>
        <rFont val="Times New Roman"/>
        <family val="1"/>
      </rPr>
      <t>G.A.55</t>
    </r>
    <r>
      <rPr>
        <sz val="16"/>
        <color rgb="FFFF0000"/>
        <rFont val="Kruti Dev 010"/>
      </rPr>
      <t xml:space="preserve"> 'khV esa bUde VSDl dkWye esa vkidh bPNkuqlkj cnyko dj ldrs gks] vU; dkWye esa cnyko laHko ugha gSA</t>
    </r>
  </si>
  <si>
    <t>MO. - 9024228324</t>
  </si>
  <si>
    <t xml:space="preserve"> 1 ;fn bl lks¶Vos;j esa vki ijs'kkuh eglwl djsa ;k bldks csgrj cukus ds fy, dksbZ lq&gt;ko nsuk pkgsa rks vkidk gkfnZd Lokxr gSA vki eq&gt;lss bZ&amp;esy irs o Qksu ls lEidZ dj ldrs gSaA</t>
  </si>
  <si>
    <t>NPS</t>
  </si>
  <si>
    <t>GPF LOAN</t>
  </si>
  <si>
    <t>WHATSAPP NO. - 9828113904</t>
  </si>
  <si>
    <t>(B) Section 80CCD(2)</t>
  </si>
  <si>
    <t>(C) Section 80CCD(1B)  ( ₹ 50000)</t>
  </si>
  <si>
    <t>,fj;j ls VhMh,l</t>
  </si>
  <si>
    <r>
      <rPr>
        <sz val="10"/>
        <rFont val="Arial"/>
        <family val="2"/>
      </rPr>
      <t>(B)</t>
    </r>
    <r>
      <rPr>
        <sz val="12"/>
        <rFont val="Arial"/>
        <family val="2"/>
      </rPr>
      <t xml:space="preserve"> </t>
    </r>
    <r>
      <rPr>
        <sz val="12"/>
        <rFont val="Kruti Dev 010"/>
      </rPr>
      <t>?kVkbZ;s /kkjk</t>
    </r>
    <r>
      <rPr>
        <sz val="12"/>
        <rFont val="DevLys 010"/>
      </rPr>
      <t xml:space="preserve"> </t>
    </r>
    <r>
      <rPr>
        <sz val="10"/>
        <rFont val="Arial"/>
        <family val="2"/>
      </rPr>
      <t>80CCE</t>
    </r>
    <r>
      <rPr>
        <sz val="12"/>
        <rFont val="Kruti Dev 010"/>
      </rPr>
      <t>]</t>
    </r>
    <r>
      <rPr>
        <sz val="12"/>
        <rFont val="DevLys 010"/>
      </rPr>
      <t xml:space="preserve"> </t>
    </r>
    <r>
      <rPr>
        <sz val="10"/>
        <rFont val="Arial"/>
        <family val="2"/>
      </rPr>
      <t>80CCD(2)</t>
    </r>
    <r>
      <rPr>
        <sz val="12"/>
        <rFont val="Arial"/>
        <family val="2"/>
      </rPr>
      <t xml:space="preserve"> </t>
    </r>
    <r>
      <rPr>
        <sz val="12"/>
        <rFont val="Kruti Dev 010"/>
      </rPr>
      <t>ljdkj }kjk isa'ku ;kstuk esa va'knku ¼osru dk</t>
    </r>
    <r>
      <rPr>
        <sz val="12"/>
        <rFont val="DevLys 010"/>
      </rPr>
      <t xml:space="preserve"> </t>
    </r>
    <r>
      <rPr>
        <sz val="10"/>
        <rFont val="Times New Roman"/>
        <family val="1"/>
      </rPr>
      <t>10</t>
    </r>
    <r>
      <rPr>
        <sz val="10"/>
        <rFont val="Arial"/>
        <family val="2"/>
      </rPr>
      <t>%</t>
    </r>
    <r>
      <rPr>
        <sz val="12"/>
        <rFont val="Arial"/>
        <family val="2"/>
      </rPr>
      <t>)</t>
    </r>
  </si>
  <si>
    <t>DEVELOPED BY VIJAY RANWA - TEACHER, GOVT. SECONDARY SCHOOL</t>
  </si>
  <si>
    <t>INPUT GRADE  PAY</t>
  </si>
  <si>
    <r>
      <t>isa'ku Iyku gsrq va'knku ¼</t>
    </r>
    <r>
      <rPr>
        <sz val="12"/>
        <rFont val="Calibri"/>
        <family val="2"/>
        <scheme val="minor"/>
      </rPr>
      <t>80</t>
    </r>
    <r>
      <rPr>
        <sz val="12"/>
        <rFont val="Times New Roman"/>
        <family val="1"/>
      </rPr>
      <t>ccc</t>
    </r>
    <r>
      <rPr>
        <sz val="12"/>
        <rFont val="Kruti Dev 010"/>
      </rPr>
      <t>½</t>
    </r>
  </si>
  <si>
    <t>vr</t>
  </si>
  <si>
    <t xml:space="preserve"> Follow theTax Rules &amp; Informations (where applicable). </t>
  </si>
  <si>
    <t>Some  Exempted Receipts / Special allowances &amp;  Perquisite which are not chargable to tax</t>
  </si>
  <si>
    <t xml:space="preserve">Some Exempted Income ( to be shown while Return filing) </t>
  </si>
  <si>
    <t>T A X   R U L E S  &amp;  O T H E R   U S E F U L   I N F O R M A T I O N S</t>
  </si>
  <si>
    <t>HRA exemption-u/s 10(13A)</t>
  </si>
  <si>
    <t>II</t>
  </si>
  <si>
    <t>Transport allowance</t>
  </si>
  <si>
    <t>III</t>
  </si>
  <si>
    <t xml:space="preserve">Reimbursement of Medical bills </t>
  </si>
  <si>
    <t>IV</t>
  </si>
  <si>
    <t xml:space="preserve"> u/s(5) LTA  Exemption </t>
  </si>
  <si>
    <t>V</t>
  </si>
  <si>
    <t xml:space="preserve"> u/s 24  and 80EE Exemption for interest on housing loan.</t>
  </si>
  <si>
    <t>VI</t>
  </si>
  <si>
    <t xml:space="preserve">u/s 80CCE &amp; 80CCD Maximum Exemption </t>
  </si>
  <si>
    <t>VII</t>
  </si>
  <si>
    <t xml:space="preserve">Rajiv Gandhi Equity Savings Scheme </t>
  </si>
  <si>
    <t>VIII</t>
  </si>
  <si>
    <t>u/s 80D Medical Insurance</t>
  </si>
  <si>
    <t>IX</t>
  </si>
  <si>
    <t>u/s 80DD Deduction in respect of medical treatment of handicapped dependents</t>
  </si>
  <si>
    <t>X</t>
  </si>
  <si>
    <t>u/s 80DDB Deduction in respect of medical treatment for specified ailments or diseases</t>
  </si>
  <si>
    <t>XI</t>
  </si>
  <si>
    <t>u/s 80E Interest repayment on education loan</t>
  </si>
  <si>
    <t>XII</t>
  </si>
  <si>
    <t xml:space="preserve">u/s 80G Donations given for certain charities </t>
  </si>
  <si>
    <t>XIII</t>
  </si>
  <si>
    <t>u/s 80GG If Assesse is not getting  HRA,  but living in rented house,</t>
  </si>
  <si>
    <t>XIV</t>
  </si>
  <si>
    <t xml:space="preserve">u/s 80U If assesse have a permanent physical disability </t>
  </si>
  <si>
    <t>XV</t>
  </si>
  <si>
    <t>u/s 80TTA Deduction on interest on saving bank accounts.</t>
  </si>
  <si>
    <t xml:space="preserve"> KNOW MORE about DEDUCTION under Section 80-C</t>
  </si>
  <si>
    <t>a</t>
  </si>
  <si>
    <t>Qualifying Investments u/s 80CCE</t>
  </si>
  <si>
    <t>b</t>
  </si>
  <si>
    <t xml:space="preserve">Provident Fund (PF) &amp; Voluntary Provident Fund (VPF) </t>
  </si>
  <si>
    <t>c</t>
  </si>
  <si>
    <t>Life Insurance Premiums &amp; Unit linked Insurance Plan (ULIP)</t>
  </si>
  <si>
    <t>d</t>
  </si>
  <si>
    <t>Public Provident Fund (PPF):</t>
  </si>
  <si>
    <t>e</t>
  </si>
  <si>
    <t>National Savings Certificate (NSC):</t>
  </si>
  <si>
    <t>f</t>
  </si>
  <si>
    <t xml:space="preserve">Home Loan Principal Repayment &amp; Stamp Duty and Registration Charges for a home </t>
  </si>
  <si>
    <t>g</t>
  </si>
  <si>
    <t xml:space="preserve">Tuition  fees  for 2 children </t>
  </si>
  <si>
    <t>h</t>
  </si>
  <si>
    <t>Equity Linked Savings Scheme (ELSS)</t>
  </si>
  <si>
    <t>i</t>
  </si>
  <si>
    <t>5-Yr bank fixed deposits (FDs)  or 5-Yr post office time deposit (POTD)</t>
  </si>
  <si>
    <t>j</t>
  </si>
  <si>
    <t xml:space="preserve">Pension Funds or Pension Policies </t>
  </si>
  <si>
    <t>k</t>
  </si>
  <si>
    <t>Sukanya Samridhi Account</t>
  </si>
  <si>
    <t>l</t>
  </si>
  <si>
    <t>Infrastructure Bonds: NABARD rural bonds:</t>
  </si>
  <si>
    <t>m</t>
  </si>
  <si>
    <t>Senior Citizen Savings Scheme 2004 (SCSS)</t>
  </si>
  <si>
    <t>I M P O R T A N T -  A D V I S ES</t>
  </si>
  <si>
    <r>
      <t xml:space="preserve">                                              </t>
    </r>
    <r>
      <rPr>
        <b/>
        <sz val="12"/>
        <color indexed="10"/>
        <rFont val="Arial"/>
        <family val="2"/>
      </rPr>
      <t xml:space="preserve">  For MALE ASSESSE </t>
    </r>
    <r>
      <rPr>
        <b/>
        <sz val="9"/>
        <color indexed="10"/>
        <rFont val="Arial"/>
        <family val="2"/>
      </rPr>
      <t xml:space="preserve"> </t>
    </r>
  </si>
  <si>
    <t xml:space="preserve">   Net Income Range                                                   Income Tax Rates</t>
  </si>
  <si>
    <t xml:space="preserve">  Up to ₹ 2,50,000                                                                    NIL</t>
  </si>
  <si>
    <t xml:space="preserve">     Net Income Range                                                 Income Tax Rates</t>
  </si>
  <si>
    <t xml:space="preserve">   Up to ₹2,50,000                                                           NIL</t>
  </si>
  <si>
    <r>
      <t xml:space="preserve">     For </t>
    </r>
    <r>
      <rPr>
        <b/>
        <sz val="12"/>
        <color indexed="12"/>
        <rFont val="Arial"/>
        <family val="2"/>
      </rPr>
      <t>SENIOR CITIZEN</t>
    </r>
    <r>
      <rPr>
        <b/>
        <sz val="12"/>
        <color indexed="10"/>
        <rFont val="Arial"/>
        <family val="2"/>
      </rPr>
      <t xml:space="preserve">  ASSESSE (Above 60 Year )</t>
    </r>
    <r>
      <rPr>
        <b/>
        <sz val="10"/>
        <color indexed="10"/>
        <rFont val="Arial"/>
        <family val="2"/>
      </rPr>
      <t xml:space="preserve"> attaining the age during the year </t>
    </r>
  </si>
  <si>
    <t xml:space="preserve">       Net Income Range                                              Income Tax Rates</t>
  </si>
  <si>
    <r>
      <rPr>
        <b/>
        <sz val="12"/>
        <color rgb="FF7030A0"/>
        <rFont val="Arial"/>
        <family val="2"/>
      </rPr>
      <t xml:space="preserve">    For VERY SENIOR CITIZEN  ASSESSE (Above 80 Year )</t>
    </r>
    <r>
      <rPr>
        <b/>
        <sz val="9"/>
        <color rgb="FF7030A0"/>
        <rFont val="Arial"/>
        <family val="2"/>
      </rPr>
      <t xml:space="preserve"> attaining the age during the year </t>
    </r>
  </si>
  <si>
    <t xml:space="preserve">      Net Income Range                                              Income Tax Rates</t>
  </si>
  <si>
    <t xml:space="preserve">    Up to ₹5,00,000                                                           NIL</t>
  </si>
  <si>
    <r>
      <t xml:space="preserve"> </t>
    </r>
    <r>
      <rPr>
        <b/>
        <u/>
        <sz val="11"/>
        <color indexed="10"/>
        <rFont val="Arial"/>
        <family val="2"/>
      </rPr>
      <t xml:space="preserve">Some  Exempted Receipts /Special allowances &amp;  Perquisite which are not chargable to tax are </t>
    </r>
    <r>
      <rPr>
        <b/>
        <sz val="11"/>
        <color indexed="10"/>
        <rFont val="Arial"/>
        <family val="2"/>
      </rPr>
      <t xml:space="preserve"> </t>
    </r>
  </si>
  <si>
    <r>
      <rPr>
        <b/>
        <sz val="11"/>
        <rFont val="Arial"/>
        <family val="2"/>
      </rPr>
      <t xml:space="preserve"> Exempted Receipts</t>
    </r>
    <r>
      <rPr>
        <sz val="11"/>
        <color theme="1"/>
        <rFont val="Calibri"/>
        <family val="2"/>
        <scheme val="minor"/>
      </rPr>
      <t xml:space="preserve"> - 1.  Medical Reimbursement (Max </t>
    </r>
    <r>
      <rPr>
        <sz val="10"/>
        <rFont val="Rupee Foradian Standard"/>
        <family val="2"/>
      </rPr>
      <t>Rs</t>
    </r>
    <r>
      <rPr>
        <sz val="10"/>
        <color indexed="48"/>
        <rFont val="Arial"/>
        <family val="2"/>
      </rPr>
      <t xml:space="preserve">15000/- Per annum)    2.  L.T.A (as per Rule)                                                            </t>
    </r>
  </si>
  <si>
    <r>
      <rPr>
        <b/>
        <u/>
        <sz val="10"/>
        <color rgb="FF3333FF"/>
        <rFont val="Arial"/>
        <family val="2"/>
      </rPr>
      <t xml:space="preserve">Special allowances Exempted u/s 10(14)  </t>
    </r>
    <r>
      <rPr>
        <b/>
        <u/>
        <sz val="10"/>
        <rFont val="Arial"/>
        <family val="2"/>
      </rPr>
      <t xml:space="preserve">                                                                                                                                                                                                                                                                    1. Uniform Allowance (granted to meet the expenditure incurred on purchase or maintenance of uniform to be worn during performance of Official Duty)                                                                     2. Helper Allowance ( granted to meet exependiture incurred on helper for performance of official duty)                                                                                                                                                   3. Academic Allowance (granted for encouraging academic, research &amp; training pursuits) including Newspaper, Generals etc.)                                                                                                              4. Children Education Allowance ( ₹100 P.M. per child / (₹300 for hostel expenditure) Max of 2 children)                                                                                                                                                   5. Convayance allowance ( granted to meet the expenditure incurred on convayance, while performing official duty.                                                                                                                                 .   ( Expenditure incured for covering journey between office and residence is not treated as expenditure in performance of official duty. ) </t>
    </r>
  </si>
  <si>
    <r>
      <t xml:space="preserve"> </t>
    </r>
    <r>
      <rPr>
        <b/>
        <u/>
        <sz val="11"/>
        <color indexed="10"/>
        <rFont val="Arial"/>
        <family val="2"/>
      </rPr>
      <t>Perquisite not chargable to tax</t>
    </r>
  </si>
  <si>
    <r>
      <t xml:space="preserve"> </t>
    </r>
    <r>
      <rPr>
        <b/>
        <u/>
        <sz val="11"/>
        <color indexed="10"/>
        <rFont val="Arial"/>
        <family val="2"/>
      </rPr>
      <t>Some Exempted Income are</t>
    </r>
    <r>
      <rPr>
        <b/>
        <sz val="11"/>
        <color indexed="10"/>
        <rFont val="Arial"/>
        <family val="2"/>
      </rPr>
      <t xml:space="preserve"> ( to be shown while Return filing) </t>
    </r>
  </si>
  <si>
    <t xml:space="preserve">         1.  Withdrawal / Maturity / Interest received from PF,PPF,Sukanya Samridhi Account, Life Insurance policy, Agriculture. (Max up to ₹5000/- )</t>
  </si>
  <si>
    <t xml:space="preserve">         2    Long Term Capital Gain From Shares</t>
  </si>
  <si>
    <t xml:space="preserve">         3    Dividend on shares in companies</t>
  </si>
  <si>
    <r>
      <t xml:space="preserve">         4.    Interest on Saving Bank &amp; Post Office A/c up to </t>
    </r>
    <r>
      <rPr>
        <b/>
        <sz val="12"/>
        <rFont val="Arial"/>
        <family val="2"/>
      </rPr>
      <t xml:space="preserve"> </t>
    </r>
    <r>
      <rPr>
        <b/>
        <sz val="12"/>
        <rFont val="Calibri"/>
        <family val="2"/>
      </rPr>
      <t xml:space="preserve">₹ </t>
    </r>
    <r>
      <rPr>
        <b/>
        <sz val="10"/>
        <rFont val="Arial"/>
        <family val="2"/>
      </rPr>
      <t>10,000/- ( Sec-80TTE)</t>
    </r>
  </si>
  <si>
    <r>
      <rPr>
        <b/>
        <u/>
        <sz val="11"/>
        <color indexed="10"/>
        <rFont val="Arial"/>
        <family val="2"/>
      </rPr>
      <t>Please Note</t>
    </r>
    <r>
      <rPr>
        <b/>
        <u/>
        <sz val="11"/>
        <rFont val="Arial"/>
        <family val="2"/>
      </rPr>
      <t xml:space="preserve"> :</t>
    </r>
  </si>
  <si>
    <t>(i) Interest earned from all sources are to be included. All interest (including saving Bank A/C (above ₹10,000), FD income are fully taxable).</t>
  </si>
  <si>
    <t xml:space="preserve">(II) As per clarification from IT department, all perquisites such as rent-free accommodation, company provided car, free or concessional education facilities, employee stock option plan, free club membership, company provided credit card, gift vouchers, meal coupons, hotel stay beyond 15 days, are fully taxable. </t>
  </si>
  <si>
    <t>T A X   R U L E S  &amp;  O T H E R   U S E F U L   I N F O R M A T I O N S  for</t>
  </si>
  <si>
    <t xml:space="preserve">II       </t>
  </si>
  <si>
    <r>
      <rPr>
        <b/>
        <sz val="9"/>
        <color rgb="FFFF0000"/>
        <rFont val="Arial"/>
        <family val="2"/>
      </rPr>
      <t>Transport allowance is exemp</t>
    </r>
    <r>
      <rPr>
        <b/>
        <sz val="9"/>
        <rFont val="Arial"/>
        <family val="2"/>
      </rPr>
      <t>t up to ₹1600/- per month during the month (₹ 3,200 per month for blind and handicapped employees) .                                                                                                                                                      Transport Allowance is granted to an employee to meet expenditure on commuting between place of residence and place of duty</t>
    </r>
  </si>
  <si>
    <t xml:space="preserve">Reimbursement of Medical bills(on producing of Bills) are exempt for self and dependent family, up to ₹15,000/- per annum </t>
  </si>
  <si>
    <r>
      <rPr>
        <b/>
        <sz val="9"/>
        <color rgb="FFFF0000"/>
        <rFont val="Arial"/>
        <family val="2"/>
      </rPr>
      <t xml:space="preserve"> u/s(5) LTA is exempt</t>
    </r>
    <r>
      <rPr>
        <b/>
        <sz val="9"/>
        <rFont val="Arial"/>
        <family val="2"/>
      </rPr>
      <t xml:space="preserve"> to the tune of economy class Train/ Air /Recognised public Transport fare for the family to any destination in India, by the shortest route.                                                                                                                   LTA can be claimed twice in a block of 4 calendar yea₹ The current block is from 01.01.2014 to 31.12.2017. For claim, it is must to provide originals tickets etc.</t>
    </r>
  </si>
  <si>
    <r>
      <t xml:space="preserve">   V(a) </t>
    </r>
    <r>
      <rPr>
        <b/>
        <sz val="9"/>
        <color rgb="FFFF0000"/>
        <rFont val="Arial"/>
        <family val="2"/>
      </rPr>
      <t>New Change</t>
    </r>
  </si>
  <si>
    <t xml:space="preserve">      (b)</t>
  </si>
  <si>
    <t xml:space="preserve">VII    </t>
  </si>
  <si>
    <t xml:space="preserve">IX     </t>
  </si>
  <si>
    <t xml:space="preserve">X    </t>
  </si>
  <si>
    <r>
      <rPr>
        <b/>
        <u/>
        <sz val="11"/>
        <color rgb="FF3333FF"/>
        <rFont val="Arial"/>
        <family val="2"/>
      </rPr>
      <t>u/s 80DD</t>
    </r>
    <r>
      <rPr>
        <b/>
        <sz val="11"/>
        <color rgb="FFFF0000"/>
        <rFont val="Arial"/>
        <family val="2"/>
      </rPr>
      <t xml:space="preserve"> </t>
    </r>
    <r>
      <rPr>
        <b/>
        <sz val="10"/>
        <rFont val="Arial"/>
        <family val="2"/>
      </rPr>
      <t>Deduction in respect of medical treatment of handicapped dependents</t>
    </r>
    <r>
      <rPr>
        <sz val="11"/>
        <color theme="1"/>
        <rFont val="Calibri"/>
        <family val="2"/>
        <scheme val="minor"/>
      </rPr>
      <t xml:space="preserve"> is limited to </t>
    </r>
    <r>
      <rPr>
        <sz val="10"/>
        <rFont val="Rupee Foradian Standard"/>
        <family val="2"/>
      </rPr>
      <t>₹75</t>
    </r>
    <r>
      <rPr>
        <sz val="11"/>
        <color theme="1"/>
        <rFont val="Calibri"/>
        <family val="2"/>
        <scheme val="minor"/>
      </rPr>
      <t xml:space="preserve">,000/- per year if the disability is less than 80% and </t>
    </r>
    <r>
      <rPr>
        <sz val="10"/>
        <rFont val="Rupee Foradian Standard"/>
        <family val="2"/>
      </rPr>
      <t>Rs</t>
    </r>
    <r>
      <rPr>
        <sz val="11"/>
        <color theme="1"/>
        <rFont val="Calibri"/>
        <family val="2"/>
        <scheme val="minor"/>
      </rPr>
      <t>1,25,000/- per year if the disability is more than 80%</t>
    </r>
  </si>
  <si>
    <t xml:space="preserve">XI      </t>
  </si>
  <si>
    <r>
      <rPr>
        <b/>
        <u/>
        <sz val="11"/>
        <color indexed="12"/>
        <rFont val="Arial"/>
        <family val="2"/>
      </rPr>
      <t>u/s 80E</t>
    </r>
    <r>
      <rPr>
        <b/>
        <sz val="11"/>
        <color indexed="12"/>
        <rFont val="Arial"/>
        <family val="2"/>
      </rPr>
      <t xml:space="preserve"> Interest repayment on education loan</t>
    </r>
    <r>
      <rPr>
        <b/>
        <sz val="9"/>
        <color indexed="12"/>
        <rFont val="Arial"/>
        <family val="2"/>
      </rPr>
      <t xml:space="preserve"> </t>
    </r>
    <r>
      <rPr>
        <sz val="11"/>
        <color theme="1"/>
        <rFont val="Calibri"/>
        <family val="2"/>
        <scheme val="minor"/>
      </rPr>
      <t>(taken for higher education from a university of self &amp; dependents) is completely tax exempt</t>
    </r>
  </si>
  <si>
    <r>
      <rPr>
        <b/>
        <u/>
        <sz val="11"/>
        <color indexed="12"/>
        <rFont val="Arial"/>
        <family val="2"/>
      </rPr>
      <t>u/s 80G</t>
    </r>
    <r>
      <rPr>
        <b/>
        <sz val="11"/>
        <color indexed="12"/>
        <rFont val="Arial"/>
        <family val="2"/>
      </rPr>
      <t xml:space="preserve"> Donations given for certain charities</t>
    </r>
    <r>
      <rPr>
        <sz val="9"/>
        <rFont val="Arial"/>
        <family val="2"/>
      </rPr>
      <t xml:space="preserve"> </t>
    </r>
    <r>
      <rPr>
        <sz val="11"/>
        <color theme="1"/>
        <rFont val="Calibri"/>
        <family val="2"/>
        <scheme val="minor"/>
      </rPr>
      <t>are tax exempt.NGO,Trust etc. are exempt to the tune of 50%, whereas Govt funds are 100%.</t>
    </r>
    <r>
      <rPr>
        <sz val="9"/>
        <rFont val="Arial"/>
        <family val="2"/>
      </rPr>
      <t xml:space="preserve"> </t>
    </r>
  </si>
  <si>
    <r>
      <t xml:space="preserve">XIV         </t>
    </r>
    <r>
      <rPr>
        <b/>
        <sz val="9"/>
        <color rgb="FFFF0000"/>
        <rFont val="Arial"/>
        <family val="2"/>
      </rPr>
      <t>New</t>
    </r>
  </si>
  <si>
    <r>
      <rPr>
        <b/>
        <u/>
        <sz val="11"/>
        <color rgb="FF3333FF"/>
        <rFont val="Arial"/>
        <family val="2"/>
      </rPr>
      <t>u/s 80GG</t>
    </r>
    <r>
      <rPr>
        <b/>
        <sz val="10"/>
        <color rgb="FFFF0000"/>
        <rFont val="Arial"/>
        <family val="2"/>
      </rPr>
      <t xml:space="preserve"> If you are not getting  HRA, but living in rented house, an exemption is available. This will be calculated as minimum of (25% of total income or rent paid - 10% of total income or ₹ 60,000/- per year</t>
    </r>
    <r>
      <rPr>
        <b/>
        <sz val="9"/>
        <color rgb="FFFF0000"/>
        <rFont val="Arial"/>
        <family val="2"/>
      </rPr>
      <t>)</t>
    </r>
  </si>
  <si>
    <r>
      <rPr>
        <b/>
        <sz val="10"/>
        <color rgb="FFFF0000"/>
        <rFont val="Arial"/>
        <family val="2"/>
      </rPr>
      <t>u/s 80U</t>
    </r>
    <r>
      <rPr>
        <b/>
        <sz val="10"/>
        <rFont val="Arial"/>
        <family val="2"/>
      </rPr>
      <t xml:space="preserve"> who suffers from not less than 40 per cent of any</t>
    </r>
    <r>
      <rPr>
        <b/>
        <sz val="10"/>
        <color rgb="FFFF0000"/>
        <rFont val="Arial"/>
        <family val="2"/>
      </rPr>
      <t xml:space="preserve"> disability</t>
    </r>
    <r>
      <rPr>
        <b/>
        <sz val="10"/>
        <rFont val="Arial"/>
        <family val="2"/>
      </rPr>
      <t xml:space="preserve"> is eligible for</t>
    </r>
    <r>
      <rPr>
        <b/>
        <sz val="10"/>
        <color rgb="FFFF0000"/>
        <rFont val="Arial"/>
        <family val="2"/>
      </rPr>
      <t xml:space="preserve"> deduction</t>
    </r>
    <r>
      <rPr>
        <b/>
        <sz val="10"/>
        <rFont val="Arial"/>
        <family val="2"/>
      </rPr>
      <t xml:space="preserve"> to the extent of ₹ 75,000/- and in case of severe disability to the extent of ₹ 1,25,000/-</t>
    </r>
  </si>
  <si>
    <t>XVI</t>
  </si>
  <si>
    <r>
      <rPr>
        <b/>
        <u/>
        <sz val="11"/>
        <color indexed="12"/>
        <rFont val="Arial"/>
        <family val="2"/>
      </rPr>
      <t>u/s 80TTA</t>
    </r>
    <r>
      <rPr>
        <sz val="9"/>
        <color indexed="12"/>
        <rFont val="Arial"/>
        <family val="2"/>
      </rPr>
      <t xml:space="preserve"> </t>
    </r>
    <r>
      <rPr>
        <sz val="11"/>
        <color theme="1"/>
        <rFont val="Calibri"/>
        <family val="2"/>
        <scheme val="minor"/>
      </rPr>
      <t>introduced through Finance Act, 2012. Section 80TTA provides a deduction of up to ₹10,000 on your income from interest on saving bank accounts</t>
    </r>
    <r>
      <rPr>
        <sz val="9"/>
        <rFont val="Arial"/>
        <family val="2"/>
      </rPr>
      <t>.</t>
    </r>
  </si>
  <si>
    <r>
      <t xml:space="preserve">                                       </t>
    </r>
    <r>
      <rPr>
        <b/>
        <i/>
        <u/>
        <sz val="12"/>
        <color indexed="57"/>
        <rFont val="Arial"/>
        <family val="2"/>
      </rPr>
      <t xml:space="preserve">KNOW MORE about DEDUCTION under Section 80-C and chapter VIA </t>
    </r>
  </si>
  <si>
    <r>
      <rPr>
        <b/>
        <sz val="12"/>
        <color indexed="10"/>
        <rFont val="Arial"/>
        <family val="2"/>
      </rPr>
      <t xml:space="preserve">                                         </t>
    </r>
    <r>
      <rPr>
        <b/>
        <u/>
        <sz val="12"/>
        <color indexed="10"/>
        <rFont val="Arial"/>
        <family val="2"/>
      </rPr>
      <t>Qualifying Investments u/s 80CCE are</t>
    </r>
  </si>
  <si>
    <r>
      <rPr>
        <b/>
        <u/>
        <sz val="10"/>
        <color indexed="12"/>
        <rFont val="Arial"/>
        <family val="2"/>
      </rPr>
      <t>Provident Fund (PF) &amp; Voluntary Provident Fund</t>
    </r>
    <r>
      <rPr>
        <u/>
        <sz val="10"/>
        <color indexed="12"/>
        <rFont val="Arial"/>
        <family val="2"/>
      </rPr>
      <t xml:space="preserve"> </t>
    </r>
    <r>
      <rPr>
        <b/>
        <u/>
        <sz val="10"/>
        <color indexed="12"/>
        <rFont val="Arial"/>
        <family val="2"/>
      </rPr>
      <t>(VPF)</t>
    </r>
    <r>
      <rPr>
        <sz val="11"/>
        <color theme="1"/>
        <rFont val="Calibri"/>
        <family val="2"/>
        <scheme val="minor"/>
      </rPr>
      <t xml:space="preserve"> PF is automatically deducted from your salary. your contribution [12% of Basic] (i.e., employee’s contribution) is counted towards section 80C investments. You also have the option to contribute additional amounts through voluntary contributions (VPF). Current rate of interest is 8.5% per annum (p.a.) and is tax-free.
</t>
    </r>
  </si>
  <si>
    <r>
      <rPr>
        <b/>
        <u/>
        <sz val="10"/>
        <color rgb="FF3333FF"/>
        <rFont val="Arial"/>
        <family val="2"/>
      </rPr>
      <t>National Savings Certificate (NSC)</t>
    </r>
    <r>
      <rPr>
        <sz val="11"/>
        <color theme="1"/>
        <rFont val="Calibri"/>
        <family val="2"/>
        <scheme val="minor"/>
      </rPr>
      <t>: National Savings Certificate (NSC) is a 5-Yr small savings instrument eligible for section 80C tax benefit. Rate of interest is  8.58% compounded half-yearly, i.e. If you invest ₹100, it becomes ₹150.90 after five years. The interest accrued every year is liable to tax (i.e. to be included in your taxable income) but the interest is also deemed to be reinvested and thus eligible for section 80C deduction.</t>
    </r>
  </si>
  <si>
    <r>
      <rPr>
        <b/>
        <u/>
        <sz val="10"/>
        <color indexed="12"/>
        <rFont val="Arial"/>
        <family val="2"/>
      </rPr>
      <t>Home Loan Principal Repayment &amp; Stamp Duty and Registration Charges for a home Loan</t>
    </r>
    <r>
      <rPr>
        <sz val="11"/>
        <color theme="1"/>
        <rFont val="Calibri"/>
        <family val="2"/>
        <scheme val="minor"/>
      </rPr>
      <t xml:space="preserve"> The Equated Monthly Installment (EMI) that you pay every month to repay your home loan consists of two components – </t>
    </r>
    <r>
      <rPr>
        <b/>
        <sz val="10"/>
        <rFont val="Arial"/>
        <family val="2"/>
      </rPr>
      <t>Principal</t>
    </r>
    <r>
      <rPr>
        <sz val="11"/>
        <color theme="1"/>
        <rFont val="Calibri"/>
        <family val="2"/>
        <scheme val="minor"/>
      </rPr>
      <t xml:space="preserve"> and</t>
    </r>
    <r>
      <rPr>
        <b/>
        <sz val="10"/>
        <rFont val="Arial"/>
        <family val="2"/>
      </rPr>
      <t xml:space="preserve"> Interest</t>
    </r>
    <r>
      <rPr>
        <sz val="11"/>
        <color theme="1"/>
        <rFont val="Calibri"/>
        <family val="2"/>
        <scheme val="minor"/>
      </rPr>
      <t xml:space="preserve">.The principal component of the EMI qualifies for deduction under Sec 80C. Even the interest component can save you significant income tax – but that would be under Section 24 of the Income Tax Act. The amount you pay as stamp duty when you buy a house, and the amount you pay for the registration of the documents of the house can be claimed as deduction under section 80C in the year of purchase of the house.
</t>
    </r>
  </si>
  <si>
    <r>
      <rPr>
        <b/>
        <u/>
        <sz val="10"/>
        <color indexed="12"/>
        <rFont val="Arial"/>
        <family val="2"/>
      </rPr>
      <t xml:space="preserve">Equity Linked Savings Scheme </t>
    </r>
    <r>
      <rPr>
        <b/>
        <sz val="10"/>
        <rFont val="Arial"/>
        <family val="2"/>
      </rPr>
      <t>(ELSS)</t>
    </r>
    <r>
      <rPr>
        <sz val="11"/>
        <color theme="1"/>
        <rFont val="Calibri"/>
        <family val="2"/>
        <scheme val="minor"/>
      </rPr>
      <t xml:space="preserve">: There are some mutual fund (MF) schemes specially created for offering you tax savings, and these are called Equity Linked Savings Scheme, or ELSS. The investments that you make in ELSS are eligible for deduction under Sec 80C.
</t>
    </r>
  </si>
  <si>
    <t xml:space="preserve">Pension Funds or Pension Policies – Section 80CCC: This section – Sec 80CCC – stipulates that an investment in pension funds is eligible for deduction from your income. Section 80CCC investment limit is clubbed with the limit of Section 80C – it means that the total deduction available for 80CCC and 80C is ₹1.5 Lakh.This also means that your investment in pension funds upto ₹1.5 Lakh can be claimed as deduction u/s 80CCC. However, as mentioned earlier, the total deduction u/s 80C and 80CCC can not exceed  ₹1.5 Lakh.
</t>
  </si>
  <si>
    <r>
      <rPr>
        <b/>
        <u/>
        <sz val="10"/>
        <color indexed="12"/>
        <rFont val="Arial"/>
        <family val="2"/>
      </rPr>
      <t>Infrastructure Bonds</t>
    </r>
    <r>
      <rPr>
        <sz val="11"/>
        <color theme="1"/>
        <rFont val="Calibri"/>
        <family val="2"/>
        <scheme val="minor"/>
      </rPr>
      <t xml:space="preserve">: These are also popularly called Infra Bonds. These are issued by infrastructure companies, and not the government. The amount that you invest in these bonds can also be included in Sec 80C deductions.                                                                                                                                                                
</t>
    </r>
    <r>
      <rPr>
        <b/>
        <u/>
        <sz val="10"/>
        <color indexed="12"/>
        <rFont val="Arial"/>
        <family val="2"/>
      </rPr>
      <t>NABARD rural bonds</t>
    </r>
    <r>
      <rPr>
        <sz val="11"/>
        <color theme="1"/>
        <rFont val="Calibri"/>
        <family val="2"/>
        <scheme val="minor"/>
      </rPr>
      <t xml:space="preserve">: There are two types of Bonds issued by NABARD (National Bank for Agriculture and Rural Development): NABARD Rural Bonds and Bhavishya Nirman Bonds (BNB). Out of these two, only NABARD Rural Bonds qualify under section 80C.
</t>
    </r>
  </si>
  <si>
    <r>
      <rPr>
        <b/>
        <u/>
        <sz val="10"/>
        <color indexed="12"/>
        <rFont val="Arial"/>
        <family val="2"/>
      </rPr>
      <t>Senior Citizen Savings Scheme 2004</t>
    </r>
    <r>
      <rPr>
        <sz val="11"/>
        <color theme="1"/>
        <rFont val="Calibri"/>
        <family val="2"/>
        <scheme val="minor"/>
      </rPr>
      <t xml:space="preserve"> </t>
    </r>
    <r>
      <rPr>
        <b/>
        <sz val="10"/>
        <rFont val="Arial"/>
        <family val="2"/>
      </rPr>
      <t>(SCSS)</t>
    </r>
    <r>
      <rPr>
        <sz val="11"/>
        <color theme="1"/>
        <rFont val="Calibri"/>
        <family val="2"/>
        <scheme val="minor"/>
      </rPr>
      <t xml:space="preserve">: A recent addition to section 80C list, Senior Citizen Savings Scheme (SCSS) is the most lucrative scheme among all the small savings schemes but is meant only for senior citizens. Current rate of interest is 9% per annum payable quarterly. Please note that the interest is payable quarterly instead of compounded quarterly. Thus, unclaimed interest on these deposits won’t earn any further interest. Interest income is chargeable to tax.
</t>
    </r>
  </si>
  <si>
    <r>
      <rPr>
        <b/>
        <u/>
        <sz val="10"/>
        <color rgb="FF3333FF"/>
        <rFont val="Arial"/>
        <family val="2"/>
      </rPr>
      <t xml:space="preserve">Sukanya Samridhi Account </t>
    </r>
    <r>
      <rPr>
        <sz val="11"/>
        <color theme="1"/>
        <rFont val="Calibri"/>
        <family val="2"/>
        <scheme val="minor"/>
      </rPr>
      <t xml:space="preserve">: Contribution made in a financial year in Sukanya Samriddhi Account will also be eligible for income tax exemption under Section 80C up to a maximum of ₹ 1,50,000/-  </t>
    </r>
  </si>
  <si>
    <t xml:space="preserve"> Mostly people gives estimated declaration at year starting to minimise their Tax Liabilities but could not save up to last and face heavy burden in last months. Many of us start looking for investment avenues only in February or March, just before the Financial Year is getting over. This is a big mistake! One, you would end up investing your money without putting proper thought to it. And secondly, you would end up losing the interest / appreciation for the whole year. Instead, decide where you want to make the investments, and start investing right from the beginning of the financial year – from April. so it is advisable to save from start on monthly basis through Bank ECS as a SIP . This way, you would not only make informed decisions, but would also earn the interest for the full year from April to March. 
</t>
  </si>
  <si>
    <t xml:space="preserve"> TEACHER</t>
  </si>
  <si>
    <t>PL Surren.</t>
  </si>
  <si>
    <r>
      <t xml:space="preserve">                  Brief detail of Information and RULES for(Rates,Deductions,Exemption etc.)                                                                       </t>
    </r>
    <r>
      <rPr>
        <b/>
        <sz val="16"/>
        <color indexed="12"/>
        <rFont val="Verdana"/>
        <family val="2"/>
      </rPr>
      <t xml:space="preserve">      </t>
    </r>
  </si>
  <si>
    <t>HFRH</t>
  </si>
  <si>
    <t>Other Arre.</t>
  </si>
  <si>
    <t>vijay ranwa</t>
  </si>
  <si>
    <r>
      <t xml:space="preserve">vU; HkŸksa tks /kkjk </t>
    </r>
    <r>
      <rPr>
        <sz val="12"/>
        <rFont val="Calibri"/>
        <family val="2"/>
        <scheme val="minor"/>
      </rPr>
      <t>10(14)</t>
    </r>
    <r>
      <rPr>
        <sz val="16"/>
        <rFont val="Kruti Dev 010"/>
      </rPr>
      <t xml:space="preserve"> ds vUrxZr dj eqDr gSA</t>
    </r>
  </si>
  <si>
    <t>US10 (14)</t>
  </si>
  <si>
    <t>vk;dj x.kuk izi= foRrh; o"kZ 2017&amp;2018 ¼dj fu/kkZj.k o"kZ 2018&amp;2019½</t>
  </si>
  <si>
    <t>vk;% o"kZ 2017&amp;18 esa izkIr dqy osru ¼HkÙkksa lfgr½</t>
  </si>
  <si>
    <t>As per the Finance Bill, 2017</t>
  </si>
  <si>
    <t>INCOME TAX CALCULATION FOR FINANCIAL YEAR 2017-2018 &amp; Assessment year 2018-19</t>
  </si>
  <si>
    <t>Office Place</t>
  </si>
  <si>
    <t>Salary and Deduction Detail for FY 2017-2018 &amp; Assessment Year 2018-19</t>
  </si>
  <si>
    <t>bpgps1184d</t>
  </si>
  <si>
    <t>HEADMASTER, GOVT SECONDARY SCHOOL DHANERU (BIKANER)</t>
  </si>
  <si>
    <t>Name of the Office</t>
  </si>
  <si>
    <t>lefiZr vodk'k dk osru fy;k gS rks vkgj.k fd;s x;s ekg dk p;u djsa</t>
  </si>
  <si>
    <t>fe;knh tek 5 o"kZ ;k vf/kd</t>
  </si>
  <si>
    <r>
      <t>NwV &amp;/kkjk 87¼</t>
    </r>
    <r>
      <rPr>
        <sz val="10"/>
        <rFont val="Calibri"/>
        <family val="2"/>
        <scheme val="minor"/>
      </rPr>
      <t>A</t>
    </r>
    <r>
      <rPr>
        <sz val="12"/>
        <rFont val="Kruti Dev 010"/>
      </rPr>
      <t>½ ds vUrxZr ¼</t>
    </r>
    <r>
      <rPr>
        <sz val="12"/>
        <rFont val="Calibri"/>
        <family val="2"/>
        <scheme val="minor"/>
      </rPr>
      <t>3.5</t>
    </r>
    <r>
      <rPr>
        <sz val="12"/>
        <rFont val="Kruti Dev 010"/>
      </rPr>
      <t xml:space="preserve"> yk[k rd dh dj ;ksX; vk; gksus ij NwV :- 2500 rd½</t>
    </r>
  </si>
  <si>
    <t>1- loZizFke vius ,fj;j dks xr foÙkh; o"kksZa ds vuqlkj foHkkftr djsaA</t>
  </si>
  <si>
    <t>NAME</t>
  </si>
  <si>
    <t>ADDRESS</t>
  </si>
  <si>
    <t>PAN</t>
  </si>
  <si>
    <t>CATEGORY</t>
  </si>
  <si>
    <t xml:space="preserve">3- dj ;ksX; vk; og vk; gS ftl ij ml foÙkh; o"kZ esa fu/kkZfjr vk;dj nj ls vk;dj dh x.kuk dh tkrh gSA </t>
  </si>
  <si>
    <t>FORM NO. 10 E (See rule 21AA)</t>
  </si>
  <si>
    <t>Address</t>
  </si>
  <si>
    <t>Status</t>
  </si>
  <si>
    <t xml:space="preserve">Indian Resident </t>
  </si>
  <si>
    <t>(b) Payment in the nature of gratuity in respect of past services, extending over a period of not less than 5 years in accordance with the provisions of sub-rule (3) of rule 21A</t>
  </si>
  <si>
    <t xml:space="preserve">Not applicable </t>
  </si>
  <si>
    <t>(c) Payment in the nature of compensation from the employer or former employer at or in connection with termination of employment after continuous service of not less than 3 years in accordance with the provisions of sub-rule (4) of rule 21A</t>
  </si>
  <si>
    <t>(d) Payment in commutation of pension in accordance with the provisions of sub-rule (5) of rule 21A</t>
  </si>
  <si>
    <t xml:space="preserve">2. Detailed particulars of payments referred to above may be given in Annexure I, II, IIA, III or IV as the case may be </t>
  </si>
  <si>
    <t>Annexure- I</t>
  </si>
  <si>
    <t xml:space="preserve">Verification </t>
  </si>
  <si>
    <t xml:space="preserve">I do hereby declare that what is stated above is true to the best of my knowledge and belief. Verified today </t>
  </si>
  <si>
    <t>Date:</t>
  </si>
  <si>
    <t>Signature of the employee</t>
  </si>
  <si>
    <t>ANNEXURE - I</t>
  </si>
  <si>
    <t xml:space="preserve">1. Total net taxable Income excluding Salary received in Arrears or advance </t>
  </si>
  <si>
    <t>2. salary received in arrears or advance</t>
  </si>
  <si>
    <t>3. Total Income (as increased by salary received in arrears or advance) (Add item 1 and item 2)</t>
  </si>
  <si>
    <t>4. Tax on total income (as per item 3)</t>
  </si>
  <si>
    <t>5. Tax on total income (as per item 1)</t>
  </si>
  <si>
    <t>6. Tax on salary received in arrears or advance (Difference of item 4 and item 5)</t>
  </si>
  <si>
    <t>7. Tax computed in accordance with Table "A" (Brought from column 7 of Table "A")</t>
  </si>
  <si>
    <t>8. Relief under section 89 (1) (Indicate the difference between the amounts mentioned against items 6 and 7)</t>
  </si>
  <si>
    <t>TABLE "A"  (See item 7 of Annexure I)</t>
  </si>
  <si>
    <t>Previous Year(s)</t>
  </si>
  <si>
    <t xml:space="preserve">Total Net Taxable income of the relevant previous year </t>
  </si>
  <si>
    <t>salary received in arrears or advance relating to the relevant previous year as mentioned in col. (1)</t>
  </si>
  <si>
    <t>Total income (as increased by salry received in arrears or advance) or the relevant previous year mentioned in col. (1) (Add col. 2 and 3)</t>
  </si>
  <si>
    <t>Tax on total income (as per col. 2)</t>
  </si>
  <si>
    <t>Tax on total income (as per col. 4)</t>
  </si>
  <si>
    <t>Difference in tax (Amount under col. 6 minus amount under col. 5)</t>
  </si>
  <si>
    <t>2012-13</t>
  </si>
  <si>
    <t>2013-14</t>
  </si>
  <si>
    <t>2014-15</t>
  </si>
  <si>
    <t>2015-16</t>
  </si>
  <si>
    <t>PARTIAL HRA EXEMPTION WORK SHEET</t>
  </si>
  <si>
    <t>MONTHS</t>
  </si>
  <si>
    <t>"Y"</t>
  </si>
  <si>
    <t>Basic Pay.</t>
  </si>
  <si>
    <t xml:space="preserve">Please select months by typing "Y" </t>
  </si>
  <si>
    <t xml:space="preserve">After selecting months, give rent paid amount. </t>
  </si>
  <si>
    <t>HRA EXEMPTION AMOUNT</t>
  </si>
  <si>
    <t xml:space="preserve">Max. HRA exemption amount </t>
  </si>
  <si>
    <t>Rent receipt required for max. exemption</t>
  </si>
  <si>
    <t>IF YOU ARE NOT ELIGIBLE TO GET HRA EXEMPTION FOR COMPLETE YEAR THEN USE THIS SHEET</t>
  </si>
  <si>
    <t>Y</t>
  </si>
  <si>
    <t>RENT PAID AMOUNT MONTHLY</t>
  </si>
  <si>
    <t>Particulars of Income referred to in rule 21A of the Income tax Rules, 1962, during the previous year relevant to assessment year 2018-19</t>
  </si>
  <si>
    <t>1. (a) Salary received in arrears or in advance during 2017-18 in accordance with the provision of sub-rule (2) of rule 21A</t>
  </si>
  <si>
    <t>2016-17</t>
  </si>
  <si>
    <t>New Tax  Rates  for Financial-Year 2017-18, Assessment Year  2018-2019</t>
  </si>
  <si>
    <t xml:space="preserve"> As per finance Finance Act  2016 - TAX  RATES  For Financial Year 2016-17 &amp; Assesment Year 2017-18  </t>
  </si>
  <si>
    <t xml:space="preserve">  2,50,001 to ₹ 5,00,000                                       5% on Total Income (-) ₹ 2,50,000</t>
  </si>
  <si>
    <t xml:space="preserve">  ₹ 5,00,001 to ₹ 10,00,000                                ₹12,500+20% of Total Income (-) ₹5,00,000</t>
  </si>
  <si>
    <t xml:space="preserve">  More than ₹ 10.00,000                                   ₹1,12,500+30% of Total Income (-) ₹10,00,000</t>
  </si>
  <si>
    <r>
      <rPr>
        <b/>
        <sz val="12"/>
        <color indexed="10"/>
        <rFont val="Arial"/>
        <family val="2"/>
      </rPr>
      <t xml:space="preserve">                                     For  </t>
    </r>
    <r>
      <rPr>
        <b/>
        <sz val="12"/>
        <color indexed="57"/>
        <rFont val="Arial"/>
        <family val="2"/>
      </rPr>
      <t>FEMALE</t>
    </r>
    <r>
      <rPr>
        <b/>
        <sz val="12"/>
        <color indexed="10"/>
        <rFont val="Arial"/>
        <family val="2"/>
      </rPr>
      <t xml:space="preserve">  ASSESSE </t>
    </r>
    <r>
      <rPr>
        <b/>
        <sz val="9"/>
        <color indexed="10"/>
        <rFont val="Arial"/>
        <family val="2"/>
      </rPr>
      <t>( same tax slab as Male Assesse)</t>
    </r>
  </si>
  <si>
    <t xml:space="preserve">   ₹250,001 to ₹5,00,000                                            5% of Total Income (-) ₹2,50,000</t>
  </si>
  <si>
    <t xml:space="preserve">   ₹5,00,001 to ₹10,00,000                                   ₹12,500 + 20% of Total Income (-) ₹5,00,000</t>
  </si>
  <si>
    <t xml:space="preserve">   More than ₹10.00,000                                     ₹1,12,500 + 30% of Total Income (-) ₹10,00,000</t>
  </si>
  <si>
    <t>Note- (u/s 87A- A rebate upto ₹2500/-  for assessee with Income range upto ₹ 3,50,000)</t>
  </si>
  <si>
    <r>
      <t xml:space="preserve">    Up to </t>
    </r>
    <r>
      <rPr>
        <b/>
        <sz val="10"/>
        <rFont val="Rupee Foradian Standard"/>
        <family val="2"/>
      </rPr>
      <t xml:space="preserve"> ₹3</t>
    </r>
    <r>
      <rPr>
        <b/>
        <sz val="10"/>
        <rFont val="Arial"/>
        <family val="2"/>
      </rPr>
      <t>,00,000                                                           NIL</t>
    </r>
  </si>
  <si>
    <t xml:space="preserve">    ₹3,00,001 to 5,00,000                                           5% of Total Income(-) ₹3,00,000</t>
  </si>
  <si>
    <t xml:space="preserve">    ₹5,00,001 to 10,00,000                                         ₹10,000 +20% of Total Income (-) ₹5,00,000</t>
  </si>
  <si>
    <t xml:space="preserve">    More than ₹10.00,000                                         ₹1,10,000 + 30% of Total Income (-) ₹10,00,000</t>
  </si>
  <si>
    <t>Note- (u/s 87A- A rebate upto ₹ 2500/-  for assessee with Income range upto ₹ 3,50,000)</t>
  </si>
  <si>
    <t xml:space="preserve">    ₹5,00,001 to ₹10,00,000                                         20% of Total Income (-) ₹10,00,000</t>
  </si>
  <si>
    <t xml:space="preserve">    More than ₹10,00,000                                         ₹1,00,000 +30% of Total Income (-) ₹10,00,000</t>
  </si>
  <si>
    <r>
      <t xml:space="preserve">Note: 1. Education Cess is 2% &amp; Secondary and Higher education Cess is 1% of income tax from all Assesse.                                                                                                                                                            </t>
    </r>
    <r>
      <rPr>
        <b/>
        <sz val="10"/>
        <color theme="0"/>
        <rFont val="Arial"/>
        <family val="2"/>
      </rPr>
      <t>.</t>
    </r>
    <r>
      <rPr>
        <b/>
        <sz val="10"/>
        <color indexed="12"/>
        <rFont val="Arial"/>
        <family val="2"/>
      </rPr>
      <t xml:space="preserve">        2. Surcharge on income tax @10% for income above 50 Lakh &amp; 15% for income above 1crore  </t>
    </r>
  </si>
  <si>
    <r>
      <rPr>
        <b/>
        <u/>
        <sz val="10"/>
        <color rgb="FFFF0000"/>
        <rFont val="Arial"/>
        <family val="2"/>
      </rPr>
      <t xml:space="preserve"> Deduction available u/s -16  </t>
    </r>
    <r>
      <rPr>
        <b/>
        <sz val="10"/>
        <color rgb="FFFF0000"/>
        <rFont val="Arial"/>
        <family val="2"/>
      </rPr>
      <t xml:space="preserve"> </t>
    </r>
    <r>
      <rPr>
        <b/>
        <sz val="10"/>
        <rFont val="Arial"/>
        <family val="2"/>
      </rPr>
      <t xml:space="preserve">                                                                                                                                                                                                                                                                       1. Entertainment allowance (for Govt Employees) Max  ₹5000/-                                                                                                                                                                                                                           2. Professional tax - Professional tax paid by employee is deducted from Gross salary.</t>
    </r>
  </si>
  <si>
    <r>
      <rPr>
        <sz val="11"/>
        <color indexed="12"/>
        <rFont val="Arial"/>
        <family val="2"/>
      </rPr>
      <t>If you have rented out your house</t>
    </r>
    <r>
      <rPr>
        <sz val="11"/>
        <rFont val="Arial"/>
        <family val="2"/>
      </rPr>
      <t>,</t>
    </r>
    <r>
      <rPr>
        <sz val="9"/>
        <rFont val="Arial"/>
        <family val="2"/>
      </rPr>
      <t xml:space="preserve"> Whole the interest will be eligible for deduction.</t>
    </r>
    <r>
      <rPr>
        <sz val="11"/>
        <color theme="1"/>
        <rFont val="Calibri"/>
        <family val="2"/>
        <scheme val="minor"/>
      </rPr>
      <t xml:space="preserve"> (after deducting property tax and standard maintenance expenses from rent recived).</t>
    </r>
  </si>
  <si>
    <r>
      <rPr>
        <b/>
        <sz val="9"/>
        <color rgb="FFFF0000"/>
        <rFont val="Arial"/>
        <family val="2"/>
      </rPr>
      <t xml:space="preserve">u/s 80CCE- Maximum Exemption up to  ₹1,50,000/- </t>
    </r>
    <r>
      <rPr>
        <b/>
        <sz val="9"/>
        <rFont val="Arial"/>
        <family val="2"/>
      </rPr>
      <t xml:space="preserve"> Investments up to ₹1.5 lac in PF, VPF, PPF, Employee contribution in NPS,Insurance Premium, Housing loan principal repayment, NSC, ELSS, long term bank Fixed Deposit, Post Office Term Deposit, etc. are deductible from the taxable income. There is no limit on individual items, (for example) all 1.5 lac can be invested in NSC or PPF etc.  </t>
    </r>
  </si>
  <si>
    <r>
      <rPr>
        <b/>
        <sz val="9"/>
        <color rgb="FFFF0000"/>
        <rFont val="Arial"/>
        <family val="2"/>
      </rPr>
      <t>u/s 80CCD(1)</t>
    </r>
    <r>
      <rPr>
        <b/>
        <sz val="9"/>
        <rFont val="Arial"/>
        <family val="2"/>
      </rPr>
      <t xml:space="preserve">:  The Finance Act, 2015 provides that </t>
    </r>
    <r>
      <rPr>
        <b/>
        <sz val="9"/>
        <color rgb="FFFF0000"/>
        <rFont val="Arial"/>
        <family val="2"/>
      </rPr>
      <t>contribution made by the Central Government or any other employer to NPS</t>
    </r>
    <r>
      <rPr>
        <b/>
        <sz val="9"/>
        <rFont val="Arial"/>
        <family val="2"/>
      </rPr>
      <t xml:space="preserve"> shall be excluded while computing the limit of Rs1,50,000.The contribution by the employee to the NPS will be subject to the limit of ₹1,50,000.                                                                                                                                                                                                                                                                                                                                                </t>
    </r>
    <r>
      <rPr>
        <b/>
        <sz val="9"/>
        <color rgb="FFFF0000"/>
        <rFont val="Arial"/>
        <family val="2"/>
      </rPr>
      <t>Section 80CCD: Additional Contribution to New Pension Scheme (NPS)</t>
    </r>
    <r>
      <rPr>
        <b/>
        <sz val="9"/>
        <rFont val="Arial"/>
        <family val="2"/>
      </rPr>
      <t xml:space="preserve"> - It will provide an additional deduction of upto ₹ 50,000 over and above the limit of ₹ 1.50 lakh in respect of contributions made to NPS under Section 80CCD(1).                                                                                                                                                                                                                                                                                                                                                                                                                      </t>
    </r>
    <r>
      <rPr>
        <b/>
        <sz val="9"/>
        <color rgb="FFFF0000"/>
        <rFont val="Arial"/>
        <family val="2"/>
      </rPr>
      <t>Section 80CCD (2):  Contribution to Pension Account (by Employer)</t>
    </r>
    <r>
      <rPr>
        <b/>
        <sz val="9"/>
        <rFont val="Arial"/>
        <family val="2"/>
      </rPr>
      <t xml:space="preserve"> - Deduction available for the amount paid or deposited by the employer of the assessee in a pension scheme notified or as may be notified by the Central Government subject to a maximum of 10% of salary in the financial year
</t>
    </r>
  </si>
  <si>
    <r>
      <rPr>
        <b/>
        <sz val="9"/>
        <color rgb="FFFF0000"/>
        <rFont val="Arial"/>
        <family val="2"/>
      </rPr>
      <t xml:space="preserve">u/s 80CCG </t>
    </r>
    <r>
      <rPr>
        <b/>
        <sz val="9"/>
        <rFont val="Arial"/>
        <family val="2"/>
      </rPr>
      <t>- Rajiv Gandhi Equity Savings Scheme exemption available for investment in stock markets (direct equity). Avaialble only for those with gross income less than 12 lacs and only for first time investors in stock market. Exemption available at 50% of investment subject to maximum of ₹50,000/- invested. Investments are locked-in for three years</t>
    </r>
  </si>
  <si>
    <r>
      <rPr>
        <b/>
        <sz val="10"/>
        <color rgb="FFFF0000"/>
        <rFont val="Arial"/>
        <family val="2"/>
      </rPr>
      <t>u/s 80D Medical Insurance Premium</t>
    </r>
    <r>
      <rPr>
        <b/>
        <sz val="10"/>
        <rFont val="Arial"/>
        <family val="2"/>
      </rPr>
      <t xml:space="preserve"> (such as Mediclaim &amp; Critical illness Cover with contribution in CGHS &amp; Preventive Health Check up Upto INR.5000/-) Premium is exempt up to INR.55,000/ per year (₹25,000/- for self,spouse and children ) (₹25,000/- or ₹30,000/- for Parents) If Parents are Senior Citizen (above 60 years of age), Exempted premium up to ₹30,000/0 oterwise upto ₹.25,000/-.                               For Very Senior Citizen (Age 80+) - (In case of no Mediclaim) Any payment made on account of Medical expenditure in respect of very senior citizens will be allowed as deduction u/s 80D of a maximum of ₹30,000/-</t>
    </r>
  </si>
  <si>
    <t xml:space="preserve">Public Provident Fund (PPF): Among all the assured returns small saving schemes, Public Provident Fund (PPF) is one of the best. Current rate of interest is 8% tax-free and the normal maturity period is 15 years Minimum amount of contribution is ₹500 and maximum is ₹1,50,000.(New Change) from Finance Act  2014
</t>
  </si>
  <si>
    <t xml:space="preserve">                                                                                                                                                                                                                                  TOP</t>
  </si>
  <si>
    <r>
      <t xml:space="preserve">                                                For the </t>
    </r>
    <r>
      <rPr>
        <b/>
        <sz val="16"/>
        <color rgb="FFFF0000"/>
        <rFont val="Arial"/>
        <family val="2"/>
      </rPr>
      <t>Financial year 2017- 18</t>
    </r>
    <r>
      <rPr>
        <b/>
        <sz val="16"/>
        <color indexed="12"/>
        <rFont val="Arial"/>
        <family val="2"/>
      </rPr>
      <t>,</t>
    </r>
    <r>
      <rPr>
        <b/>
        <sz val="16"/>
        <color indexed="17"/>
        <rFont val="Arial"/>
        <family val="2"/>
      </rPr>
      <t xml:space="preserve"> </t>
    </r>
    <r>
      <rPr>
        <b/>
        <sz val="16"/>
        <color rgb="FF00B050"/>
        <rFont val="Arial"/>
        <family val="2"/>
      </rPr>
      <t>ASSESSMENT YEAR 2018-19</t>
    </r>
    <r>
      <rPr>
        <b/>
        <sz val="16"/>
        <color indexed="12"/>
        <rFont val="Arial"/>
        <family val="2"/>
      </rPr>
      <t xml:space="preserve">                                                       </t>
    </r>
    <r>
      <rPr>
        <b/>
        <sz val="16"/>
        <color indexed="50"/>
        <rFont val="Arial"/>
        <family val="2"/>
      </rPr>
      <t>.</t>
    </r>
    <r>
      <rPr>
        <b/>
        <sz val="16"/>
        <color indexed="12"/>
        <rFont val="Arial"/>
        <family val="2"/>
      </rPr>
      <t xml:space="preserve">                      </t>
    </r>
  </si>
  <si>
    <t>Note- (u/s 87A- A rebate upto ₹ 2500/-  for assessee with Income range upto ₹ 3,50,000 )</t>
  </si>
  <si>
    <t>Form for furnishing particulars of income undr scetion 192(2A) for year ending 31st March 2018 for claiming relief under section 89(1) by a Government servant or an employee in a company, co-operative society, local authority, university, institution, association or body.</t>
  </si>
  <si>
    <t>Financial Year</t>
  </si>
  <si>
    <t>Taxable Income of the relevant F.Y. without the arrears or advance (Rs.)</t>
  </si>
  <si>
    <t>CALCULATION OF SALARY ARREAR RELIEF UNDER SECTION 89 (1)</t>
  </si>
  <si>
    <t xml:space="preserve"> Year-wise Breakup of Arrears received and taxable income </t>
  </si>
  <si>
    <t>Total Taxable Income of the relevant F.Y. with the arrears or advance (Rs.)</t>
  </si>
  <si>
    <t xml:space="preserve">4- vc bl QkWeZ esa lEcfU/kr foÙkh; o"kZ  dh dj ;ksX; vk; ,oa ml o"kZ ls lEcfU/kr ,fj;j dh jkf'k HkjsaA /;ku jgs foÙkh; o"kZ 2017&amp;18 ds fy, Hkjh x;h dj ;ksX; vk; esa lEiw.kZ ,fj;j dh jkf'k tqMh gksA </t>
  </si>
  <si>
    <t>Amount of Arrears or Advance  received against each Financial Year (Rs.)</t>
  </si>
  <si>
    <t>Total Taxable Income including Arrear Received in FY 2017-18</t>
  </si>
  <si>
    <t>Indian Resident</t>
  </si>
  <si>
    <r>
      <rPr>
        <b/>
        <u/>
        <sz val="10"/>
        <color indexed="12"/>
        <rFont val="Arial"/>
        <family val="2"/>
      </rPr>
      <t>5-Yr bank fixed deposits</t>
    </r>
    <r>
      <rPr>
        <sz val="11"/>
        <color theme="1"/>
        <rFont val="Calibri"/>
        <family val="2"/>
        <scheme val="minor"/>
      </rPr>
      <t xml:space="preserve"> </t>
    </r>
    <r>
      <rPr>
        <b/>
        <sz val="10"/>
        <rFont val="Arial"/>
        <family val="2"/>
      </rPr>
      <t>(FDs)</t>
    </r>
    <r>
      <rPr>
        <sz val="11"/>
        <color theme="1"/>
        <rFont val="Calibri"/>
        <family val="2"/>
        <scheme val="minor"/>
      </rPr>
      <t xml:space="preserve">: Tax-saving fixed deposits (FDs) of scheduled banks with tenure of 5 years are also entitled for section 80C deduction.                                                                                                                    </t>
    </r>
    <r>
      <rPr>
        <b/>
        <u/>
        <sz val="10"/>
        <color indexed="12"/>
        <rFont val="Arial"/>
        <family val="2"/>
      </rPr>
      <t>5-Yr post office time deposit</t>
    </r>
    <r>
      <rPr>
        <sz val="11"/>
        <color theme="1"/>
        <rFont val="Calibri"/>
        <family val="2"/>
        <scheme val="minor"/>
      </rPr>
      <t xml:space="preserve"> </t>
    </r>
    <r>
      <rPr>
        <b/>
        <sz val="10"/>
        <rFont val="Arial"/>
        <family val="2"/>
      </rPr>
      <t>(POTD)</t>
    </r>
    <r>
      <rPr>
        <sz val="11"/>
        <color theme="1"/>
        <rFont val="Calibri"/>
        <family val="2"/>
        <scheme val="minor"/>
      </rPr>
      <t xml:space="preserve"> scheme: POTDs are similar to bank fixed deposits. Although available for varying time duration like one year, two year, three year and five year, only 5-Yr post-office time deposit (POTD) – which currently offers 7.5 per cent rate of interest –qualifies for tax saving under section 80C. Effective rate works out to be 7.71% per annum (p.a.) as the rate of interest is compounded quarterly but paid annually. The Interest is entirely taxable.
</t>
    </r>
  </si>
  <si>
    <r>
      <rPr>
        <b/>
        <u/>
        <sz val="10"/>
        <color indexed="12"/>
        <rFont val="Arial"/>
        <family val="2"/>
      </rPr>
      <t>Life Insurance Premiums</t>
    </r>
    <r>
      <rPr>
        <sz val="11"/>
        <color theme="1"/>
        <rFont val="Calibri"/>
        <family val="2"/>
        <scheme val="minor"/>
      </rPr>
      <t xml:space="preserve">: Any amount that you pay towards life insurance premium in Life Insurance Corporation (LIC) or any other Insurance CO.for yourself, your spouse or your children can also be included in Section 80C deduction. If you are paying premium for more than one insurance policy, all the premiums will be included. also premium paid for ULIP will also be treated as Premium paid for Life Insurance Policies.                                                                                                                                                                                                                                                                                                                                                                                          </t>
    </r>
    <r>
      <rPr>
        <b/>
        <u/>
        <sz val="10"/>
        <color indexed="12"/>
        <rFont val="Arial"/>
        <family val="2"/>
      </rPr>
      <t>Unit linked Insurance Plan : ULIP</t>
    </r>
    <r>
      <rPr>
        <sz val="11"/>
        <color theme="1"/>
        <rFont val="Calibri"/>
        <family val="2"/>
        <scheme val="minor"/>
      </rPr>
      <t xml:space="preserve"> stands for Unit linked Saving Schemes. ULIPs cover Life insurance with benefits of equity investments.They have attracted the attention of investors and tax-savers not only because they help us save tax but they also perform well to give decent returns in the long-term.
</t>
    </r>
    <r>
      <rPr>
        <b/>
        <u/>
        <sz val="10"/>
        <color indexed="10"/>
        <rFont val="Arial"/>
        <family val="2"/>
      </rPr>
      <t>IMP</t>
    </r>
    <r>
      <rPr>
        <sz val="11"/>
        <color theme="1"/>
        <rFont val="Calibri"/>
        <family val="2"/>
        <scheme val="minor"/>
      </rPr>
      <t xml:space="preserve"> : Total Amount Received at Maturity, Survival Benefits, , Withdrawl in Insurance Policies is Tax Free and fully exempteed u/s 10(10D).</t>
    </r>
  </si>
  <si>
    <t>DA Arrear 136%</t>
  </si>
  <si>
    <r>
      <rPr>
        <sz val="11"/>
        <rFont val="Calibri"/>
        <family val="2"/>
        <scheme val="minor"/>
      </rPr>
      <t xml:space="preserve">(C) </t>
    </r>
    <r>
      <rPr>
        <sz val="12"/>
        <rFont val="Kruti Dev 010"/>
      </rPr>
      <t>?kVkbZ;s /kkjk</t>
    </r>
    <r>
      <rPr>
        <sz val="12"/>
        <rFont val="DevLys 010"/>
      </rPr>
      <t xml:space="preserve"> </t>
    </r>
    <r>
      <rPr>
        <sz val="11"/>
        <rFont val="Calibri"/>
        <family val="2"/>
        <scheme val="minor"/>
      </rPr>
      <t xml:space="preserve">80CCD(1B) </t>
    </r>
    <r>
      <rPr>
        <sz val="12"/>
        <rFont val="Kruti Dev 010"/>
      </rPr>
      <t xml:space="preserve">Loa }kjk uohu isa'ku ;kstuk esa va'knku </t>
    </r>
    <r>
      <rPr>
        <sz val="11"/>
        <rFont val="Kruti Dev 010"/>
      </rPr>
      <t>¼vf/kdre</t>
    </r>
    <r>
      <rPr>
        <sz val="11"/>
        <rFont val="Kruti Dev 010"/>
      </rPr>
      <t xml:space="preserve"> </t>
    </r>
    <r>
      <rPr>
        <sz val="11"/>
        <rFont val="Calibri"/>
        <family val="2"/>
        <scheme val="minor"/>
      </rPr>
      <t>50000</t>
    </r>
    <r>
      <rPr>
        <sz val="11"/>
        <rFont val="Arial"/>
        <family val="2"/>
      </rPr>
      <t>)</t>
    </r>
  </si>
  <si>
    <t>Govt Secondary School  Dhaneru, BIKANER     Mo. +919024228324</t>
  </si>
  <si>
    <t>Auto Income Tax Calculator       By - Vijay Ranwa, Teacher</t>
  </si>
  <si>
    <r>
      <t xml:space="preserve"> ;fn bl fofr; o"kZ esa vkidks ,sfj;j feyk gS rks /kkjk 89 ds rgr vki ml jkf'k ij NwV ds gdnkj gks mlds fy, vki </t>
    </r>
    <r>
      <rPr>
        <b/>
        <sz val="16"/>
        <color rgb="FFFF0000"/>
        <rFont val="Calibri"/>
        <family val="2"/>
        <scheme val="minor"/>
      </rPr>
      <t>us</t>
    </r>
    <r>
      <rPr>
        <b/>
        <sz val="16"/>
        <color rgb="FFFF0000"/>
        <rFont val="Kruti Dev 010"/>
      </rPr>
      <t xml:space="preserve">89 'khV ij tkdj </t>
    </r>
    <r>
      <rPr>
        <b/>
        <sz val="16"/>
        <color rgb="FFFF0000"/>
        <rFont val="Calibri"/>
        <family val="2"/>
        <scheme val="minor"/>
      </rPr>
      <t xml:space="preserve">form 10E </t>
    </r>
    <r>
      <rPr>
        <b/>
        <sz val="16"/>
        <color rgb="FFFF0000"/>
        <rFont val="Kruti Dev 010"/>
      </rPr>
      <t>dks Hkjus ds fy, ,fj;j dh jkf'k dks fiNys fofr; o"kksZa esa lek;kstu djus ds fy, vko';d dkWyeksa dh iwfrZ djsaA</t>
    </r>
  </si>
  <si>
    <r>
      <t xml:space="preserve">Tax Deposited in respect of the deductee </t>
    </r>
    <r>
      <rPr>
        <b/>
        <sz val="10"/>
        <color indexed="8"/>
        <rFont val="Rupee Foradian"/>
        <family val="2"/>
      </rPr>
      <t>(Rs)</t>
    </r>
  </si>
  <si>
    <r>
      <rPr>
        <b/>
        <u/>
        <sz val="11"/>
        <color indexed="10"/>
        <rFont val="Arial"/>
        <family val="2"/>
      </rPr>
      <t>Section 80C</t>
    </r>
    <r>
      <rPr>
        <b/>
        <sz val="10"/>
        <rFont val="Arial"/>
        <family val="2"/>
      </rPr>
      <t xml:space="preserve"> </t>
    </r>
    <r>
      <rPr>
        <b/>
        <sz val="10"/>
        <color indexed="12"/>
        <rFont val="Arial"/>
        <family val="2"/>
      </rPr>
      <t>of the Income Tax Act allows certain investments and expenditure to be deduct from total income -</t>
    </r>
    <r>
      <rPr>
        <b/>
        <sz val="10"/>
        <rFont val="Arial"/>
        <family val="2"/>
      </rPr>
      <t xml:space="preserve"> </t>
    </r>
    <r>
      <rPr>
        <sz val="11"/>
        <color theme="1"/>
        <rFont val="Calibri"/>
        <family val="2"/>
        <scheme val="minor"/>
      </rPr>
      <t>One must plan investments well and spread it out across the various instruments specified under this section to avail maximum tax benefit. There are no sub-limits and is irrespective of how much you earn and under which tax bracket you fall. Most of the Income Tax payee try to save tax by saving under Section 80C of the Income Tax Act.  However, it is important to know the Section in total. so that one can make best use of the options available for deduction under income tax Act. One important point to note that one can not only save tax by undertaking the specified investments, but some expenditure which you normally incur can also give you the tax exemptions.</t>
    </r>
  </si>
  <si>
    <r>
      <rPr>
        <b/>
        <u/>
        <sz val="10"/>
        <color indexed="12"/>
        <rFont val="Arial"/>
        <family val="2"/>
      </rPr>
      <t>Tuition  fees  for 2 children</t>
    </r>
    <r>
      <rPr>
        <sz val="11"/>
        <color theme="1"/>
        <rFont val="Calibri"/>
        <family val="2"/>
        <scheme val="minor"/>
      </rPr>
      <t xml:space="preserve">  Apart form the above major investments expenses for children’s education (Only Tution Fee (for which you need receipts)), can be claimed as deductions under Sec 80C.</t>
    </r>
  </si>
  <si>
    <t>DA Arrear 139%</t>
  </si>
  <si>
    <r>
      <t xml:space="preserve">uohu isa'ku ;kstuk esa osru ds vykok fd;k x;k va'knku ¼vf/kdre </t>
    </r>
    <r>
      <rPr>
        <sz val="16"/>
        <color rgb="FFFF0000"/>
        <rFont val="Calibri"/>
        <family val="2"/>
        <scheme val="minor"/>
      </rPr>
      <t>50000)</t>
    </r>
  </si>
  <si>
    <t xml:space="preserve"> C A L L      :  VIJAY  RANWA         P h :  98 28 11 39 04 ,  9024228324 or M a i l -----  vranwa81@gmail.com</t>
  </si>
  <si>
    <r>
      <t xml:space="preserve"> </t>
    </r>
    <r>
      <rPr>
        <b/>
        <sz val="11"/>
        <color indexed="48"/>
        <rFont val="Arial"/>
        <family val="2"/>
      </rPr>
      <t>Free food and beverage</t>
    </r>
    <r>
      <rPr>
        <b/>
        <sz val="10"/>
        <rFont val="Arial"/>
        <family val="2"/>
      </rPr>
      <t xml:space="preserve"> 1. Food and non-alcoholic beverages provided in working hours in remote area or an offshore instalation are exempted to tax                                                                                                                                    2. Tea, coffee or non-alcoholic beverages and snaks in working hours are tax free perquisites.                                                                                                                                                                           3. Meals (Lunch and / or dinner) in office hours is not taxable. If cost to the employeris  </t>
    </r>
    <r>
      <rPr>
        <b/>
        <sz val="10"/>
        <rFont val="Rupee Foradian Standard"/>
        <family val="2"/>
      </rPr>
      <t>₹</t>
    </r>
    <r>
      <rPr>
        <b/>
        <sz val="10"/>
        <rFont val="Arial"/>
        <family val="2"/>
      </rPr>
      <t xml:space="preserve">50 (or Less) per meal.  </t>
    </r>
  </si>
  <si>
    <r>
      <t xml:space="preserve">2- vc lEcfU/kr foÙkh; o"kksZa ds QkWeZ 16 vFkok </t>
    </r>
    <r>
      <rPr>
        <b/>
        <sz val="14"/>
        <color theme="9" tint="-0.249977111117893"/>
        <rFont val="Calibri"/>
        <family val="2"/>
        <scheme val="minor"/>
      </rPr>
      <t xml:space="preserve">ITR </t>
    </r>
    <r>
      <rPr>
        <b/>
        <sz val="14"/>
        <color theme="9" tint="-0.249977111117893"/>
        <rFont val="Kruti Dev 010"/>
      </rPr>
      <t>ls dj ;ksX; vk; dks lEcfU/kr lsYl esa Hkjuk gSA</t>
    </r>
  </si>
  <si>
    <t>fnlEcj 2017 rd</t>
  </si>
  <si>
    <t>tuojh 2018</t>
  </si>
  <si>
    <t>Qjojh 2018</t>
  </si>
  <si>
    <t>flrEcj 2017rd</t>
  </si>
  <si>
    <t>MARCH 17</t>
  </si>
  <si>
    <t>APRIL 17</t>
  </si>
  <si>
    <t>MAY 17</t>
  </si>
  <si>
    <t>JUNE 17</t>
  </si>
  <si>
    <t>JULY 17</t>
  </si>
  <si>
    <t>AUGUST 17</t>
  </si>
  <si>
    <t>SEPTEMBER 17</t>
  </si>
  <si>
    <t>OCTOBER 17</t>
  </si>
  <si>
    <t>NOVEMBER 17</t>
  </si>
  <si>
    <t>DECEMBER 17</t>
  </si>
  <si>
    <t>JANUARY 18</t>
  </si>
  <si>
    <t>FEBRUARY 18</t>
  </si>
  <si>
    <r>
      <rPr>
        <b/>
        <sz val="10"/>
        <color rgb="FFFF0000"/>
        <rFont val="Arial"/>
        <family val="2"/>
      </rPr>
      <t xml:space="preserve"> House Rent Allowance exemption</t>
    </r>
    <r>
      <rPr>
        <b/>
        <sz val="10"/>
        <rFont val="Arial"/>
        <family val="2"/>
      </rPr>
      <t xml:space="preserve">-10(13A) = Least amount of anyone (i) 40% of Salary (50%, if house situated in Mumbai, Calcutta, Delhi or Madras)                                                                                                                                                                                              or (ii) Actual HRA Recived                                                                                                                                                                                                                                                        </t>
    </r>
    <r>
      <rPr>
        <b/>
        <sz val="10"/>
        <color theme="0"/>
        <rFont val="Arial"/>
        <family val="2"/>
      </rPr>
      <t xml:space="preserve">. </t>
    </r>
    <r>
      <rPr>
        <b/>
        <sz val="10"/>
        <rFont val="Arial"/>
        <family val="2"/>
      </rPr>
      <t xml:space="preserve">                         or (iii) Rent paid minus 10% of salary * Salary= Basic + DA (if part of retirement benefit) + Turnover based Commission                                       Note i. Fully Taxable, if HRA is received by an employee who is living in his own house or if he does not pay any rent                                                                                                                                                          ii. It is mandatory for employee to report PAN of the landlord to the employer if rent paid is more than ₹ 1,00,000 [Circular No. 08 /2013 dated 10th October, 2013]. (In case the landlord does not have PAN, employee should submit a declaration stating the same along with the landlord’s details.)</t>
    </r>
  </si>
  <si>
    <r>
      <rPr>
        <b/>
        <sz val="9"/>
        <color rgb="FFFF0000"/>
        <rFont val="Arial"/>
        <family val="2"/>
      </rPr>
      <t>u/s 24 and 80 EE There is an Exemption for interest on housing loan</t>
    </r>
    <r>
      <rPr>
        <b/>
        <sz val="9"/>
        <rFont val="Arial"/>
        <family val="2"/>
      </rPr>
      <t xml:space="preserve">.(for Self occupied Residence). If the loan was taken before Apr 1, 1999 exemption is limited to ₹30,000/- per year. If the loan was taken after Apr 1, 1999 exemption is limited to ₹2,00,000/- per year if the house is self-occupied; There is no limit if the house is rented out
This exemption is available on accrual basis, which means if interest has accrued, you can claim exemption, irrespective of whether you've paid it or not..                                                                                                                               80EE In finance bill 2016 (an additional rebate of ₹.50.000/- was given to those assesse, who purchase self ocupied single house after 01/04/2016 with maximum value of ₹ 60 Lacs and sanctioned home loan up to 35 Lacs.)                         </t>
    </r>
  </si>
  <si>
    <r>
      <rPr>
        <b/>
        <sz val="10"/>
        <color rgb="FFFF0000"/>
        <rFont val="Arial"/>
        <family val="2"/>
      </rPr>
      <t>u/s 80DDB Deduction in respect of medical treatment</t>
    </r>
    <r>
      <rPr>
        <b/>
        <sz val="10"/>
        <rFont val="Arial"/>
        <family val="2"/>
      </rPr>
      <t xml:space="preserve"> for specified ailments or diseases for the assesse or dependent can be claimed up to ₹40,000/- per year. If the person being treated is a senior citizen (Age 60-80Yrs), the exemption can go up to ₹60,000/-. If the person is very senior citizen (Age 80+), the exemption can go up to ₹ 80,000/- but any amount received under Medical Insurance Policy will be reduced from the amount of deduction allowed. The Diseases and ailments specified under rule 11DD are.                                                                                                                                                                                                            (1) Neurological diseases being demetia, dystonia musculorum deformans, motor neuron disease, ataxia, chorea, hemiballismus, aphasia and parkisons disease, (2) cancer, (3) AIDS, (4)Chronic renal failure, (5) hemophilia, and (6) thalassaemia.                                                                                                                                                                                                             Note:The assessee will be required to obtain a prescription/Certificate from a specialist doctor whether from Govt or Pvt. for the purpose of availing this deduction.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</si>
</sst>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 #,##0.00_-;_-* &quot;-&quot;??_-;_-@_-"/>
    <numFmt numFmtId="165" formatCode="_ &quot;Rs.&quot;\ * #,##0.00_ ;_ &quot;Rs.&quot;\ * \-#,##0.00_ ;_ &quot;Rs.&quot;\ * &quot;-&quot;??_ ;_ @_ "/>
    <numFmt numFmtId="166" formatCode="[$-409]mmm\-yy;@"/>
    <numFmt numFmtId="167" formatCode="0;[Red]0"/>
    <numFmt numFmtId="168" formatCode="[$-F800]dddd\,\ mmmm\ dd\,\ yyyy"/>
    <numFmt numFmtId="169" formatCode="[$-F400]h:mm:ss\ AM/PM"/>
    <numFmt numFmtId="170" formatCode="00000000"/>
    <numFmt numFmtId="171" formatCode="#,##0.00_ ;\-#,##0.00\ "/>
    <numFmt numFmtId="172" formatCode="0_)"/>
    <numFmt numFmtId="173" formatCode="&quot;Rs.&quot;\ #,##0;&quot;Rs.&quot;\ \-#,##0"/>
  </numFmts>
  <fonts count="219">
    <font>
      <sz val="11"/>
      <color theme="1"/>
      <name val="Calibri"/>
      <family val="2"/>
      <scheme val="minor"/>
    </font>
    <font>
      <b/>
      <sz val="11"/>
      <color theme="1"/>
      <name val="Calibri"/>
      <family val="2"/>
      <scheme val="minor"/>
    </font>
    <font>
      <b/>
      <sz val="12"/>
      <color theme="1"/>
      <name val="Calibri"/>
      <family val="2"/>
      <scheme val="minor"/>
    </font>
    <font>
      <b/>
      <sz val="14"/>
      <color indexed="8"/>
      <name val="DevLys 010"/>
    </font>
    <font>
      <u/>
      <sz val="11"/>
      <color theme="10"/>
      <name val="Calibri"/>
      <family val="2"/>
    </font>
    <font>
      <b/>
      <sz val="12"/>
      <name val="Kruti Dev 010"/>
    </font>
    <font>
      <b/>
      <sz val="8"/>
      <color indexed="8"/>
      <name val="Times New Roman"/>
      <family val="1"/>
    </font>
    <font>
      <b/>
      <sz val="12"/>
      <name val="Calibri"/>
      <family val="2"/>
      <scheme val="minor"/>
    </font>
    <font>
      <sz val="10"/>
      <color indexed="8"/>
      <name val="Times New Roman"/>
      <family val="1"/>
    </font>
    <font>
      <sz val="10"/>
      <name val="Times New Roman"/>
      <family val="1"/>
    </font>
    <font>
      <b/>
      <sz val="10"/>
      <name val="Calibri"/>
      <family val="2"/>
      <scheme val="minor"/>
    </font>
    <font>
      <b/>
      <sz val="9"/>
      <name val="Calibri"/>
      <family val="2"/>
      <scheme val="minor"/>
    </font>
    <font>
      <b/>
      <sz val="11"/>
      <name val="Calibri"/>
      <family val="2"/>
      <scheme val="minor"/>
    </font>
    <font>
      <b/>
      <sz val="11"/>
      <name val="Kruti Dev 020 Wide"/>
    </font>
    <font>
      <b/>
      <sz val="12"/>
      <color indexed="8"/>
      <name val="Times New Roman"/>
      <family val="1"/>
    </font>
    <font>
      <b/>
      <sz val="11"/>
      <color indexed="8"/>
      <name val="Times New Roman"/>
      <family val="1"/>
    </font>
    <font>
      <b/>
      <sz val="14"/>
      <name val="Times New Roman"/>
      <family val="1"/>
    </font>
    <font>
      <sz val="12"/>
      <name val="Times New Roman"/>
      <family val="1"/>
    </font>
    <font>
      <sz val="11"/>
      <color theme="1"/>
      <name val="Kruti Dev 010"/>
    </font>
    <font>
      <b/>
      <sz val="9"/>
      <color indexed="8"/>
      <name val="Times New Roman"/>
      <family val="1"/>
    </font>
    <font>
      <sz val="8"/>
      <color indexed="8"/>
      <name val="Times New Roman"/>
      <family val="1"/>
    </font>
    <font>
      <sz val="11"/>
      <name val="Times New Roman"/>
      <family val="1"/>
    </font>
    <font>
      <sz val="9"/>
      <color indexed="8"/>
      <name val="Times New Roman"/>
      <family val="1"/>
    </font>
    <font>
      <sz val="10"/>
      <name val="DevLys 010"/>
    </font>
    <font>
      <b/>
      <sz val="10"/>
      <color indexed="8"/>
      <name val="Times New Roman"/>
      <family val="1"/>
    </font>
    <font>
      <b/>
      <sz val="8"/>
      <color indexed="8"/>
      <name val="Rupee Foradian"/>
      <family val="2"/>
    </font>
    <font>
      <b/>
      <sz val="7"/>
      <color indexed="8"/>
      <name val="Times New Roman"/>
      <family val="1"/>
    </font>
    <font>
      <sz val="8"/>
      <color theme="1"/>
      <name val="Calibri"/>
      <family val="2"/>
      <scheme val="minor"/>
    </font>
    <font>
      <sz val="12"/>
      <color indexed="8"/>
      <name val="Times New Roman"/>
      <family val="1"/>
    </font>
    <font>
      <sz val="7"/>
      <color indexed="8"/>
      <name val="Times New Roman"/>
      <family val="1"/>
    </font>
    <font>
      <b/>
      <sz val="14"/>
      <color theme="0"/>
      <name val="Arial"/>
      <family val="2"/>
    </font>
    <font>
      <b/>
      <sz val="10"/>
      <color rgb="FFFFFF00"/>
      <name val="Arial"/>
      <family val="2"/>
    </font>
    <font>
      <b/>
      <sz val="10"/>
      <name val="Arial"/>
      <family val="2"/>
    </font>
    <font>
      <sz val="10"/>
      <name val="Arial"/>
      <family val="2"/>
    </font>
    <font>
      <sz val="12"/>
      <name val="Arial"/>
      <family val="2"/>
    </font>
    <font>
      <sz val="14"/>
      <color theme="0"/>
      <name val="Arial"/>
      <family val="2"/>
    </font>
    <font>
      <b/>
      <i/>
      <sz val="16"/>
      <color indexed="17"/>
      <name val="Arial"/>
      <family val="2"/>
    </font>
    <font>
      <sz val="12"/>
      <name val="DevLys 010"/>
    </font>
    <font>
      <sz val="12"/>
      <name val="Calibri"/>
      <family val="2"/>
      <scheme val="minor"/>
    </font>
    <font>
      <sz val="10"/>
      <name val="Calibri"/>
      <family val="2"/>
      <scheme val="minor"/>
    </font>
    <font>
      <sz val="11"/>
      <name val="Arial"/>
      <family val="2"/>
    </font>
    <font>
      <b/>
      <i/>
      <u/>
      <sz val="12"/>
      <name val="Calibri"/>
      <family val="2"/>
      <scheme val="minor"/>
    </font>
    <font>
      <b/>
      <i/>
      <sz val="10"/>
      <name val="Calibri"/>
      <family val="2"/>
      <scheme val="minor"/>
    </font>
    <font>
      <i/>
      <sz val="11"/>
      <name val="Calibri"/>
      <family val="2"/>
      <scheme val="minor"/>
    </font>
    <font>
      <sz val="11"/>
      <name val="DevLys 010"/>
    </font>
    <font>
      <b/>
      <i/>
      <sz val="11"/>
      <name val="Calibri"/>
      <family val="2"/>
      <scheme val="minor"/>
    </font>
    <font>
      <b/>
      <sz val="9"/>
      <name val="Arial"/>
      <family val="2"/>
    </font>
    <font>
      <sz val="12"/>
      <name val="Kruti Dev 010"/>
    </font>
    <font>
      <sz val="11"/>
      <name val="Calibri"/>
      <family val="2"/>
      <scheme val="minor"/>
    </font>
    <font>
      <sz val="11"/>
      <name val="Kruti Dev 010"/>
    </font>
    <font>
      <b/>
      <sz val="11"/>
      <name val="Kruti Dev 010"/>
    </font>
    <font>
      <sz val="9"/>
      <name val="Times New Roman"/>
      <family val="1"/>
    </font>
    <font>
      <b/>
      <sz val="14"/>
      <color rgb="FF00B050"/>
      <name val="Arial"/>
      <family val="2"/>
    </font>
    <font>
      <b/>
      <i/>
      <u/>
      <sz val="14"/>
      <color theme="10"/>
      <name val="Calibri"/>
      <family val="2"/>
    </font>
    <font>
      <sz val="16"/>
      <color theme="1"/>
      <name val="Kruti Dev 010"/>
    </font>
    <font>
      <b/>
      <i/>
      <sz val="14"/>
      <color rgb="FF0000FF"/>
      <name val="Calibri"/>
      <family val="2"/>
      <scheme val="minor"/>
    </font>
    <font>
      <b/>
      <sz val="12"/>
      <color theme="1"/>
      <name val="Times New Roman"/>
      <family val="1"/>
    </font>
    <font>
      <sz val="10"/>
      <color indexed="8"/>
      <name val="Rupee Foradian"/>
      <family val="2"/>
    </font>
    <font>
      <sz val="9"/>
      <name val="Kruti Dev 010"/>
    </font>
    <font>
      <sz val="9"/>
      <name val="Calibri"/>
      <family val="2"/>
      <scheme val="minor"/>
    </font>
    <font>
      <b/>
      <sz val="13"/>
      <name val="Kruti Dev 010"/>
    </font>
    <font>
      <b/>
      <sz val="14"/>
      <color rgb="FFFF0000"/>
      <name val="Kruti Dev 010"/>
    </font>
    <font>
      <b/>
      <sz val="12"/>
      <color rgb="FFFF0000"/>
      <name val="Calibri"/>
      <family val="2"/>
      <scheme val="minor"/>
    </font>
    <font>
      <b/>
      <sz val="14"/>
      <color theme="10"/>
      <name val="Times New Roman"/>
      <family val="1"/>
    </font>
    <font>
      <b/>
      <sz val="14"/>
      <color rgb="FF002060"/>
      <name val="Times New Roman"/>
      <family val="1"/>
    </font>
    <font>
      <b/>
      <sz val="16"/>
      <color rgb="FF7030A0"/>
      <name val="Kruti Dev 010"/>
    </font>
    <font>
      <sz val="16"/>
      <color theme="1"/>
      <name val="Calibri"/>
      <family val="2"/>
      <scheme val="minor"/>
    </font>
    <font>
      <sz val="16"/>
      <color rgb="FFFF0000"/>
      <name val="Kruti Dev 010"/>
    </font>
    <font>
      <sz val="16"/>
      <color rgb="FFFF0000"/>
      <name val="Times New Roman"/>
      <family val="1"/>
    </font>
    <font>
      <sz val="16"/>
      <color rgb="FF0070C0"/>
      <name val="Kruti Dev 010"/>
    </font>
    <font>
      <sz val="16"/>
      <color rgb="FF0070C0"/>
      <name val="Times New Roman"/>
      <family val="1"/>
    </font>
    <font>
      <sz val="16"/>
      <color rgb="FF0070C0"/>
      <name val="Calibri"/>
      <family val="2"/>
      <scheme val="minor"/>
    </font>
    <font>
      <sz val="16"/>
      <color theme="1"/>
      <name val="Times New Roman"/>
      <family val="1"/>
    </font>
    <font>
      <sz val="16"/>
      <color rgb="FFFF0000"/>
      <name val="Calibri"/>
      <family val="2"/>
      <scheme val="minor"/>
    </font>
    <font>
      <b/>
      <sz val="16"/>
      <name val="Calibri"/>
      <family val="2"/>
      <scheme val="minor"/>
    </font>
    <font>
      <b/>
      <sz val="14"/>
      <name val="Calibri"/>
      <family val="2"/>
      <scheme val="minor"/>
    </font>
    <font>
      <b/>
      <sz val="16"/>
      <name val="Times New Roman"/>
      <family val="1"/>
    </font>
    <font>
      <b/>
      <i/>
      <sz val="16"/>
      <color theme="0"/>
      <name val="Kruti Dev 010"/>
    </font>
    <font>
      <b/>
      <sz val="16"/>
      <color rgb="FFFFFF00"/>
      <name val="Calibri"/>
      <family val="2"/>
      <scheme val="minor"/>
    </font>
    <font>
      <sz val="16"/>
      <name val="Kruti Dev 010"/>
    </font>
    <font>
      <sz val="16"/>
      <name val="Calibri"/>
      <family val="2"/>
      <scheme val="minor"/>
    </font>
    <font>
      <sz val="20"/>
      <color rgb="FF002060"/>
      <name val="Arial"/>
      <family val="2"/>
    </font>
    <font>
      <sz val="20"/>
      <name val="Times New Roman"/>
      <family val="1"/>
    </font>
    <font>
      <b/>
      <i/>
      <sz val="14"/>
      <color rgb="FFFF0000"/>
      <name val="Arial"/>
      <family val="2"/>
    </font>
    <font>
      <b/>
      <i/>
      <sz val="14"/>
      <name val="Arial"/>
      <family val="2"/>
    </font>
    <font>
      <b/>
      <i/>
      <sz val="14"/>
      <color indexed="18"/>
      <name val="Arial"/>
      <family val="2"/>
    </font>
    <font>
      <b/>
      <i/>
      <sz val="14"/>
      <color indexed="10"/>
      <name val="Arial"/>
      <family val="2"/>
    </font>
    <font>
      <sz val="20"/>
      <name val="Monotype Corsiva"/>
      <family val="4"/>
    </font>
    <font>
      <b/>
      <sz val="14"/>
      <color rgb="FF00B0F0"/>
      <name val="Calibri"/>
      <family val="2"/>
      <scheme val="minor"/>
    </font>
    <font>
      <b/>
      <sz val="16"/>
      <color rgb="FFC00000"/>
      <name val="Arial"/>
      <family val="2"/>
    </font>
    <font>
      <b/>
      <sz val="16"/>
      <color theme="0"/>
      <name val="Arial"/>
      <family val="2"/>
    </font>
    <font>
      <b/>
      <sz val="16"/>
      <color rgb="FF0070C0"/>
      <name val="Arial"/>
      <family val="2"/>
    </font>
    <font>
      <b/>
      <sz val="16"/>
      <color rgb="FF0070C0"/>
      <name val="Kruti Dev 010"/>
    </font>
    <font>
      <i/>
      <sz val="12"/>
      <color rgb="FF002060"/>
      <name val="Calisto MT"/>
      <family val="1"/>
    </font>
    <font>
      <i/>
      <sz val="16"/>
      <color theme="1"/>
      <name val="Calisto MT"/>
      <family val="1"/>
    </font>
    <font>
      <b/>
      <sz val="16"/>
      <color rgb="FFFF0000"/>
      <name val="Calibri"/>
      <family val="2"/>
      <scheme val="minor"/>
    </font>
    <font>
      <sz val="8"/>
      <name val="Calibri"/>
      <family val="2"/>
      <scheme val="minor"/>
    </font>
    <font>
      <sz val="10"/>
      <name val="Arial"/>
      <family val="2"/>
    </font>
    <font>
      <b/>
      <sz val="11"/>
      <color theme="1"/>
      <name val="Times New Roman"/>
      <family val="1"/>
    </font>
    <font>
      <sz val="14"/>
      <color theme="10"/>
      <name val="Calibri"/>
      <family val="2"/>
    </font>
    <font>
      <b/>
      <sz val="12"/>
      <color theme="0"/>
      <name val="Calibri"/>
      <family val="2"/>
      <scheme val="minor"/>
    </font>
    <font>
      <b/>
      <i/>
      <sz val="12"/>
      <color theme="0"/>
      <name val="Calibri"/>
      <family val="2"/>
      <scheme val="minor"/>
    </font>
    <font>
      <b/>
      <i/>
      <sz val="16"/>
      <color theme="0"/>
      <name val="Calibri"/>
      <family val="2"/>
      <scheme val="minor"/>
    </font>
    <font>
      <b/>
      <i/>
      <sz val="16"/>
      <color rgb="FFFF0000"/>
      <name val="Calibri"/>
      <family val="2"/>
      <scheme val="minor"/>
    </font>
    <font>
      <b/>
      <sz val="16"/>
      <color theme="0"/>
      <name val="Calibri"/>
      <family val="2"/>
      <scheme val="minor"/>
    </font>
    <font>
      <b/>
      <i/>
      <sz val="16"/>
      <color rgb="FF002060"/>
      <name val="Calibri"/>
      <family val="2"/>
      <scheme val="minor"/>
    </font>
    <font>
      <b/>
      <i/>
      <sz val="16"/>
      <name val="Calibri"/>
      <family val="2"/>
      <scheme val="minor"/>
    </font>
    <font>
      <sz val="18"/>
      <color theme="0"/>
      <name val="DevLys 010"/>
    </font>
    <font>
      <sz val="18"/>
      <color theme="0"/>
      <name val="Kruti Dev 010"/>
    </font>
    <font>
      <sz val="18"/>
      <color theme="0"/>
      <name val="Calibri"/>
      <family val="2"/>
      <scheme val="minor"/>
    </font>
    <font>
      <b/>
      <sz val="10"/>
      <color theme="1"/>
      <name val="Calibri"/>
      <family val="2"/>
      <scheme val="minor"/>
    </font>
    <font>
      <sz val="11"/>
      <color rgb="FF000000"/>
      <name val="Calibri"/>
      <family val="2"/>
      <scheme val="minor"/>
    </font>
    <font>
      <sz val="12"/>
      <color theme="1"/>
      <name val="Calibri"/>
      <family val="2"/>
      <scheme val="minor"/>
    </font>
    <font>
      <sz val="14"/>
      <color theme="1"/>
      <name val="Calibri"/>
      <family val="2"/>
      <scheme val="minor"/>
    </font>
    <font>
      <sz val="20"/>
      <color rgb="FF0070C0"/>
      <name val="Calibri"/>
      <family val="2"/>
      <scheme val="minor"/>
    </font>
    <font>
      <sz val="11"/>
      <color theme="1"/>
      <name val="Times New Roman"/>
      <family val="1"/>
    </font>
    <font>
      <i/>
      <sz val="12"/>
      <name val="Calibri"/>
      <family val="2"/>
      <scheme val="minor"/>
    </font>
    <font>
      <b/>
      <i/>
      <sz val="11"/>
      <name val="Times New Roman"/>
      <family val="1"/>
    </font>
    <font>
      <b/>
      <sz val="22"/>
      <color indexed="12"/>
      <name val="Arial"/>
      <family val="2"/>
    </font>
    <font>
      <b/>
      <sz val="12"/>
      <color indexed="12"/>
      <name val="Arial"/>
      <family val="2"/>
    </font>
    <font>
      <b/>
      <sz val="16"/>
      <color indexed="8"/>
      <name val="Arial"/>
      <family val="2"/>
    </font>
    <font>
      <b/>
      <sz val="16"/>
      <color rgb="FFFF0000"/>
      <name val="Arial"/>
      <family val="2"/>
    </font>
    <font>
      <b/>
      <sz val="16"/>
      <color indexed="12"/>
      <name val="Arial"/>
      <family val="2"/>
    </font>
    <font>
      <b/>
      <sz val="16"/>
      <color indexed="17"/>
      <name val="Arial"/>
      <family val="2"/>
    </font>
    <font>
      <b/>
      <sz val="16"/>
      <color rgb="FF00B050"/>
      <name val="Arial"/>
      <family val="2"/>
    </font>
    <font>
      <b/>
      <sz val="16"/>
      <color indexed="50"/>
      <name val="Arial"/>
      <family val="2"/>
    </font>
    <font>
      <b/>
      <sz val="16"/>
      <color indexed="10"/>
      <name val="Verdana"/>
      <family val="2"/>
    </font>
    <font>
      <b/>
      <sz val="16"/>
      <color indexed="12"/>
      <name val="Verdana"/>
      <family val="2"/>
    </font>
    <font>
      <sz val="9"/>
      <name val="Arial"/>
      <family val="2"/>
    </font>
    <font>
      <b/>
      <sz val="12"/>
      <name val="Arial"/>
      <family val="2"/>
    </font>
    <font>
      <u/>
      <sz val="10"/>
      <color theme="10"/>
      <name val="Arial"/>
      <family val="2"/>
    </font>
    <font>
      <u/>
      <sz val="11"/>
      <color theme="10"/>
      <name val="Arial"/>
      <family val="2"/>
    </font>
    <font>
      <u/>
      <sz val="11"/>
      <color rgb="FF006666"/>
      <name val="Arial"/>
      <family val="2"/>
    </font>
    <font>
      <sz val="10"/>
      <color theme="10"/>
      <name val="Arial"/>
      <family val="2"/>
    </font>
    <font>
      <b/>
      <sz val="9"/>
      <color indexed="12"/>
      <name val="Arial"/>
      <family val="2"/>
    </font>
    <font>
      <b/>
      <sz val="9"/>
      <color indexed="10"/>
      <name val="Arial"/>
      <family val="2"/>
    </font>
    <font>
      <b/>
      <sz val="12"/>
      <color indexed="10"/>
      <name val="Arial"/>
      <family val="2"/>
    </font>
    <font>
      <b/>
      <sz val="10"/>
      <color indexed="12"/>
      <name val="Arial"/>
      <family val="2"/>
    </font>
    <font>
      <b/>
      <sz val="10"/>
      <color rgb="FFFF0000"/>
      <name val="Arial"/>
      <family val="2"/>
    </font>
    <font>
      <b/>
      <sz val="12"/>
      <color indexed="57"/>
      <name val="Arial"/>
      <family val="2"/>
    </font>
    <font>
      <b/>
      <sz val="10"/>
      <color indexed="10"/>
      <name val="Arial"/>
      <family val="2"/>
    </font>
    <font>
      <b/>
      <sz val="10"/>
      <name val="Rupee Foradian Standard"/>
      <family val="2"/>
    </font>
    <font>
      <b/>
      <sz val="9"/>
      <color rgb="FF7030A0"/>
      <name val="Arial"/>
      <family val="2"/>
    </font>
    <font>
      <b/>
      <sz val="12"/>
      <color rgb="FF7030A0"/>
      <name val="Arial"/>
      <family val="2"/>
    </font>
    <font>
      <b/>
      <sz val="11"/>
      <color rgb="FFFF0000"/>
      <name val="Arial"/>
      <family val="2"/>
    </font>
    <font>
      <b/>
      <u/>
      <sz val="11"/>
      <color indexed="10"/>
      <name val="Arial"/>
      <family val="2"/>
    </font>
    <font>
      <b/>
      <sz val="11"/>
      <color indexed="10"/>
      <name val="Arial"/>
      <family val="2"/>
    </font>
    <font>
      <b/>
      <sz val="11"/>
      <name val="Arial"/>
      <family val="2"/>
    </font>
    <font>
      <sz val="10"/>
      <name val="Rupee Foradian Standard"/>
      <family val="2"/>
    </font>
    <font>
      <sz val="10"/>
      <color indexed="48"/>
      <name val="Arial"/>
      <family val="2"/>
    </font>
    <font>
      <b/>
      <u/>
      <sz val="10"/>
      <name val="Arial"/>
      <family val="2"/>
    </font>
    <font>
      <b/>
      <u/>
      <sz val="10"/>
      <color rgb="FF3333FF"/>
      <name val="Arial"/>
      <family val="2"/>
    </font>
    <font>
      <b/>
      <u/>
      <sz val="10"/>
      <color rgb="FFFF0000"/>
      <name val="Arial"/>
      <family val="2"/>
    </font>
    <font>
      <b/>
      <sz val="11"/>
      <color indexed="48"/>
      <name val="Arial"/>
      <family val="2"/>
    </font>
    <font>
      <b/>
      <sz val="12"/>
      <name val="Calibri"/>
      <family val="2"/>
    </font>
    <font>
      <b/>
      <u/>
      <sz val="11"/>
      <name val="Arial"/>
      <family val="2"/>
    </font>
    <font>
      <b/>
      <sz val="9"/>
      <color indexed="21"/>
      <name val="Arial"/>
      <family val="2"/>
    </font>
    <font>
      <b/>
      <sz val="11"/>
      <color indexed="21"/>
      <name val="Arial"/>
      <family val="2"/>
    </font>
    <font>
      <b/>
      <sz val="9"/>
      <color rgb="FFFF0000"/>
      <name val="Arial"/>
      <family val="2"/>
    </font>
    <font>
      <b/>
      <sz val="11"/>
      <color indexed="12"/>
      <name val="Arial"/>
      <family val="2"/>
    </font>
    <font>
      <b/>
      <u/>
      <sz val="9"/>
      <color rgb="FFFF0000"/>
      <name val="Arial"/>
      <family val="2"/>
    </font>
    <font>
      <b/>
      <u/>
      <sz val="11"/>
      <color rgb="FF3333FF"/>
      <name val="Arial"/>
      <family val="2"/>
    </font>
    <font>
      <b/>
      <u/>
      <sz val="9"/>
      <color indexed="12"/>
      <name val="Arial"/>
      <family val="2"/>
    </font>
    <font>
      <b/>
      <u/>
      <sz val="11"/>
      <color indexed="12"/>
      <name val="Arial"/>
      <family val="2"/>
    </font>
    <font>
      <sz val="9"/>
      <color indexed="12"/>
      <name val="Arial"/>
      <family val="2"/>
    </font>
    <font>
      <b/>
      <i/>
      <sz val="12"/>
      <color rgb="FF339933"/>
      <name val="Arial"/>
      <family val="2"/>
    </font>
    <font>
      <b/>
      <i/>
      <u/>
      <sz val="12"/>
      <color indexed="57"/>
      <name val="Arial"/>
      <family val="2"/>
    </font>
    <font>
      <b/>
      <u/>
      <sz val="12"/>
      <color indexed="10"/>
      <name val="Arial"/>
      <family val="2"/>
    </font>
    <font>
      <b/>
      <u/>
      <sz val="10"/>
      <color indexed="12"/>
      <name val="Arial"/>
      <family val="2"/>
    </font>
    <font>
      <u/>
      <sz val="10"/>
      <color indexed="12"/>
      <name val="Arial"/>
      <family val="2"/>
    </font>
    <font>
      <b/>
      <u/>
      <sz val="10"/>
      <color indexed="10"/>
      <name val="Arial"/>
      <family val="2"/>
    </font>
    <font>
      <b/>
      <i/>
      <sz val="12"/>
      <color rgb="FF002060"/>
      <name val="Arial"/>
      <family val="2"/>
    </font>
    <font>
      <sz val="16"/>
      <color rgb="FF002060"/>
      <name val="Kruti Dev 010"/>
    </font>
    <font>
      <b/>
      <sz val="12"/>
      <color rgb="FFC00000"/>
      <name val="Arial"/>
      <family val="2"/>
    </font>
    <font>
      <b/>
      <sz val="14"/>
      <color indexed="8"/>
      <name val="Times New Roman"/>
      <family val="1"/>
    </font>
    <font>
      <b/>
      <sz val="16"/>
      <color theme="1"/>
      <name val="Calibri"/>
      <family val="2"/>
      <scheme val="minor"/>
    </font>
    <font>
      <b/>
      <sz val="16"/>
      <color theme="9" tint="-0.499984740745262"/>
      <name val="Times New Roman"/>
      <family val="1"/>
    </font>
    <font>
      <sz val="11"/>
      <color theme="0"/>
      <name val="Times New Roman"/>
      <family val="1"/>
    </font>
    <font>
      <sz val="9"/>
      <color theme="1"/>
      <name val="Times New Roman"/>
      <family val="1"/>
    </font>
    <font>
      <sz val="11"/>
      <color rgb="FFFF0000"/>
      <name val="Times New Roman"/>
      <family val="1"/>
    </font>
    <font>
      <b/>
      <sz val="14"/>
      <color theme="1"/>
      <name val="Times New Roman"/>
      <family val="1"/>
    </font>
    <font>
      <sz val="10"/>
      <color theme="1"/>
      <name val="Times New Roman"/>
      <family val="1"/>
    </font>
    <font>
      <b/>
      <sz val="9"/>
      <color theme="1"/>
      <name val="Times New Roman"/>
      <family val="1"/>
    </font>
    <font>
      <sz val="8"/>
      <color theme="1"/>
      <name val="Times New Roman"/>
      <family val="1"/>
    </font>
    <font>
      <b/>
      <sz val="14"/>
      <color rgb="FFFF0000"/>
      <name val="Times New Roman"/>
      <family val="1"/>
    </font>
    <font>
      <b/>
      <i/>
      <sz val="10"/>
      <color theme="1"/>
      <name val="Times New Roman"/>
      <family val="1"/>
    </font>
    <font>
      <sz val="11"/>
      <color indexed="8"/>
      <name val="Times New Roman"/>
      <family val="1"/>
    </font>
    <font>
      <b/>
      <sz val="14"/>
      <color indexed="10"/>
      <name val="Times New Roman"/>
      <family val="1"/>
    </font>
    <font>
      <b/>
      <sz val="11"/>
      <color indexed="56"/>
      <name val="Times New Roman"/>
      <family val="1"/>
    </font>
    <font>
      <b/>
      <sz val="14"/>
      <color indexed="17"/>
      <name val="Times New Roman"/>
      <family val="1"/>
    </font>
    <font>
      <sz val="11"/>
      <color indexed="12"/>
      <name val="Times New Roman"/>
      <family val="1"/>
    </font>
    <font>
      <sz val="11"/>
      <color indexed="10"/>
      <name val="Times New Roman"/>
      <family val="1"/>
    </font>
    <font>
      <b/>
      <sz val="13"/>
      <color indexed="17"/>
      <name val="Times New Roman"/>
      <family val="1"/>
    </font>
    <font>
      <b/>
      <sz val="11"/>
      <color indexed="21"/>
      <name val="Times New Roman"/>
      <family val="1"/>
    </font>
    <font>
      <b/>
      <sz val="11"/>
      <color indexed="10"/>
      <name val="Times New Roman"/>
      <family val="1"/>
    </font>
    <font>
      <b/>
      <sz val="11"/>
      <color indexed="17"/>
      <name val="Times New Roman"/>
      <family val="1"/>
    </font>
    <font>
      <b/>
      <sz val="11"/>
      <color indexed="18"/>
      <name val="Times New Roman"/>
      <family val="1"/>
    </font>
    <font>
      <b/>
      <sz val="8"/>
      <color indexed="16"/>
      <name val="Times New Roman"/>
      <family val="1"/>
    </font>
    <font>
      <b/>
      <sz val="16"/>
      <color indexed="21"/>
      <name val="Times New Roman"/>
      <family val="1"/>
    </font>
    <font>
      <sz val="11"/>
      <color theme="1"/>
      <name val="Calibri"/>
      <family val="2"/>
      <scheme val="minor"/>
    </font>
    <font>
      <sz val="10"/>
      <color indexed="12"/>
      <name val="Arial"/>
      <family val="2"/>
    </font>
    <font>
      <sz val="10"/>
      <color indexed="15"/>
      <name val="Arial"/>
      <family val="2"/>
    </font>
    <font>
      <sz val="10"/>
      <color rgb="FF3366FF"/>
      <name val="Arial"/>
      <family val="2"/>
    </font>
    <font>
      <sz val="10"/>
      <color rgb="FF3333FF"/>
      <name val="Arial"/>
      <family val="2"/>
    </font>
    <font>
      <b/>
      <sz val="10"/>
      <color theme="0"/>
      <name val="Arial"/>
      <family val="2"/>
    </font>
    <font>
      <sz val="11"/>
      <color indexed="12"/>
      <name val="Arial"/>
      <family val="2"/>
    </font>
    <font>
      <b/>
      <sz val="9"/>
      <color indexed="14"/>
      <name val="Arial"/>
      <family val="2"/>
    </font>
    <font>
      <sz val="11"/>
      <color indexed="8"/>
      <name val="Book Antiqua"/>
      <family val="2"/>
    </font>
    <font>
      <sz val="11"/>
      <color theme="1"/>
      <name val="Book Antiqua"/>
      <family val="2"/>
    </font>
    <font>
      <b/>
      <sz val="15"/>
      <color rgb="FFFFFF00"/>
      <name val="Arial"/>
      <family val="2"/>
    </font>
    <font>
      <sz val="20"/>
      <color theme="1"/>
      <name val="Calibri"/>
      <family val="2"/>
      <scheme val="minor"/>
    </font>
    <font>
      <b/>
      <sz val="14"/>
      <color rgb="FF7030A0"/>
      <name val="Times New Roman"/>
      <family val="1"/>
    </font>
    <font>
      <sz val="14"/>
      <color theme="1"/>
      <name val="Times New Roman"/>
      <family val="1"/>
    </font>
    <font>
      <b/>
      <sz val="16"/>
      <color rgb="FFFF0000"/>
      <name val="Kruti Dev 010"/>
    </font>
    <font>
      <b/>
      <sz val="10"/>
      <color indexed="8"/>
      <name val="Rupee Foradian"/>
      <family val="2"/>
    </font>
    <font>
      <b/>
      <sz val="12"/>
      <name val="Times New Roman"/>
      <family val="1"/>
    </font>
    <font>
      <b/>
      <sz val="14"/>
      <color theme="9" tint="-0.249977111117893"/>
      <name val="Kruti Dev 010"/>
    </font>
    <font>
      <sz val="14"/>
      <color theme="1"/>
      <name val="Kruti Dev 010"/>
    </font>
    <font>
      <b/>
      <sz val="14"/>
      <color theme="9" tint="-0.249977111117893"/>
      <name val="Calibri"/>
      <family val="2"/>
      <scheme val="minor"/>
    </font>
  </fonts>
  <fills count="7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CCFF"/>
        <bgColor indexed="64"/>
      </patternFill>
    </fill>
    <fill>
      <patternFill patternType="solid">
        <fgColor rgb="FF00B050"/>
        <bgColor indexed="64"/>
      </patternFill>
    </fill>
    <fill>
      <patternFill patternType="solid">
        <fgColor rgb="FF7030A0"/>
        <bgColor indexed="64"/>
      </patternFill>
    </fill>
    <fill>
      <patternFill patternType="solid">
        <fgColor rgb="FFCCFFCC"/>
        <bgColor indexed="64"/>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rgb="FFFFCC99"/>
        <bgColor indexed="64"/>
      </patternFill>
    </fill>
    <fill>
      <patternFill patternType="solid">
        <fgColor theme="9" tint="-0.499984740745262"/>
        <bgColor indexed="64"/>
      </patternFill>
    </fill>
    <fill>
      <patternFill patternType="solid">
        <fgColor rgb="FFC00000"/>
        <bgColor indexed="64"/>
      </patternFill>
    </fill>
    <fill>
      <patternFill patternType="solid">
        <fgColor theme="4" tint="-0.499984740745262"/>
        <bgColor indexed="64"/>
      </patternFill>
    </fill>
    <fill>
      <patternFill patternType="lightHorizontal">
        <fgColor theme="5" tint="0.59996337778862885"/>
        <bgColor theme="0"/>
      </patternFill>
    </fill>
    <fill>
      <patternFill patternType="solid">
        <fgColor theme="8" tint="-0.499984740745262"/>
        <bgColor indexed="64"/>
      </patternFill>
    </fill>
    <fill>
      <patternFill patternType="solid">
        <fgColor rgb="FF0070C0"/>
        <bgColor indexed="64"/>
      </patternFill>
    </fill>
    <fill>
      <patternFill patternType="solid">
        <fgColor theme="5" tint="0.59999389629810485"/>
        <bgColor indexed="64"/>
      </patternFill>
    </fill>
    <fill>
      <patternFill patternType="solid">
        <fgColor indexed="45"/>
        <bgColor indexed="64"/>
      </patternFill>
    </fill>
    <fill>
      <patternFill patternType="solid">
        <fgColor rgb="FF2E21D5"/>
        <bgColor indexed="64"/>
      </patternFill>
    </fill>
    <fill>
      <patternFill patternType="solid">
        <fgColor rgb="FF92D050"/>
        <bgColor indexed="64"/>
      </patternFill>
    </fill>
    <fill>
      <patternFill patternType="solid">
        <fgColor indexed="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333300"/>
        <bgColor indexed="64"/>
      </patternFill>
    </fill>
    <fill>
      <patternFill patternType="solid">
        <fgColor theme="1" tint="0.499984740745262"/>
        <bgColor indexed="64"/>
      </patternFill>
    </fill>
    <fill>
      <patternFill patternType="solid">
        <fgColor rgb="FF00B0F0"/>
        <bgColor indexed="64"/>
      </patternFill>
    </fill>
    <fill>
      <patternFill patternType="solid">
        <fgColor indexed="9"/>
        <bgColor indexed="64"/>
      </patternFill>
    </fill>
    <fill>
      <patternFill patternType="solid">
        <fgColor theme="9" tint="0.59999389629810485"/>
        <bgColor indexed="64"/>
      </patternFill>
    </fill>
    <fill>
      <patternFill patternType="solid">
        <fgColor rgb="FFA45C9A"/>
        <bgColor indexed="64"/>
      </patternFill>
    </fill>
    <fill>
      <patternFill patternType="solid">
        <fgColor indexed="15"/>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rgb="FF0000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CCECFF"/>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E11FAA"/>
        <bgColor indexed="64"/>
      </patternFill>
    </fill>
    <fill>
      <patternFill patternType="solid">
        <fgColor theme="2" tint="-0.249977111117893"/>
        <bgColor indexed="64"/>
      </patternFill>
    </fill>
    <fill>
      <patternFill patternType="darkGrid">
        <fgColor auto="1"/>
        <bgColor auto="1"/>
      </patternFill>
    </fill>
    <fill>
      <patternFill patternType="lightDown">
        <bgColor rgb="FF660066"/>
      </patternFill>
    </fill>
    <fill>
      <patternFill patternType="darkGrid">
        <fgColor rgb="FFE11FAA"/>
        <bgColor auto="1"/>
      </patternFill>
    </fill>
    <fill>
      <patternFill patternType="darkGrid">
        <fgColor rgb="FFFF0000"/>
      </patternFill>
    </fill>
    <fill>
      <patternFill patternType="solid">
        <fgColor rgb="FFFFFFCC"/>
        <bgColor indexed="64"/>
      </patternFill>
    </fill>
    <fill>
      <patternFill patternType="solid">
        <fgColor theme="7" tint="-0.249977111117893"/>
        <bgColor indexed="64"/>
      </patternFill>
    </fill>
    <fill>
      <patternFill patternType="solid">
        <fgColor theme="4" tint="0.79998168889431442"/>
        <bgColor indexed="40"/>
      </patternFill>
    </fill>
    <fill>
      <patternFill patternType="solid">
        <fgColor theme="9" tint="0.59999389629810485"/>
        <bgColor indexed="41"/>
      </patternFill>
    </fill>
    <fill>
      <patternFill patternType="solid">
        <fgColor rgb="FFFFFFCC"/>
        <bgColor indexed="34"/>
      </patternFill>
    </fill>
    <fill>
      <patternFill patternType="solid">
        <fgColor theme="8" tint="0.59999389629810485"/>
        <bgColor indexed="22"/>
      </patternFill>
    </fill>
    <fill>
      <patternFill patternType="solid">
        <fgColor theme="6" tint="0.59999389629810485"/>
        <bgColor indexed="27"/>
      </patternFill>
    </fill>
    <fill>
      <patternFill patternType="solid">
        <fgColor theme="9" tint="0.39997558519241921"/>
        <bgColor indexed="27"/>
      </patternFill>
    </fill>
    <fill>
      <patternFill patternType="solid">
        <fgColor theme="0" tint="-4.9989318521683403E-2"/>
        <bgColor indexed="41"/>
      </patternFill>
    </fill>
    <fill>
      <patternFill patternType="solid">
        <fgColor indexed="9"/>
        <bgColor indexed="26"/>
      </patternFill>
    </fill>
    <fill>
      <patternFill patternType="solid">
        <fgColor indexed="65"/>
        <bgColor indexed="64"/>
      </patternFill>
    </fill>
    <fill>
      <patternFill patternType="solid">
        <fgColor indexed="27"/>
        <bgColor indexed="41"/>
      </patternFill>
    </fill>
    <fill>
      <patternFill patternType="solid">
        <fgColor rgb="FFCCFFFF"/>
        <bgColor indexed="41"/>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rgb="FF66FFFF"/>
        <bgColor indexed="22"/>
      </patternFill>
    </fill>
    <fill>
      <patternFill patternType="solid">
        <fgColor indexed="42"/>
        <bgColor indexed="27"/>
      </patternFill>
    </fill>
    <fill>
      <patternFill patternType="solid">
        <fgColor theme="9" tint="-0.249977111117893"/>
        <bgColor indexed="64"/>
      </patternFill>
    </fill>
    <fill>
      <patternFill patternType="solid">
        <fgColor theme="3" tint="0.79998168889431442"/>
        <bgColor indexed="64"/>
      </patternFill>
    </fill>
  </fills>
  <borders count="17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indexed="64"/>
      </right>
      <top/>
      <bottom style="thin">
        <color indexed="64"/>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style="medium">
        <color indexed="64"/>
      </left>
      <right/>
      <top style="thin">
        <color indexed="64"/>
      </top>
      <bottom style="thin">
        <color indexed="64"/>
      </bottom>
      <diagonal/>
    </border>
    <border>
      <left style="medium">
        <color indexed="64"/>
      </left>
      <right/>
      <top/>
      <bottom/>
      <diagonal/>
    </border>
    <border>
      <left/>
      <right style="thin">
        <color auto="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rgb="FFFFFF00"/>
      </left>
      <right/>
      <top style="thin">
        <color rgb="FFFFFF00"/>
      </top>
      <bottom style="thin">
        <color rgb="FFFFFF00"/>
      </bottom>
      <diagonal/>
    </border>
    <border>
      <left/>
      <right/>
      <top style="thin">
        <color rgb="FFFFFF00"/>
      </top>
      <bottom style="thin">
        <color rgb="FFFFFF00"/>
      </bottom>
      <diagonal/>
    </border>
    <border>
      <left/>
      <right style="thin">
        <color rgb="FFFFFF00"/>
      </right>
      <top style="thin">
        <color rgb="FFFFFF00"/>
      </top>
      <bottom style="thin">
        <color rgb="FFFFFF00"/>
      </bottom>
      <diagonal/>
    </border>
    <border>
      <left style="medium">
        <color rgb="FFFF0000"/>
      </left>
      <right/>
      <top/>
      <bottom/>
      <diagonal/>
    </border>
    <border>
      <left/>
      <right/>
      <top style="medium">
        <color rgb="FFFF0000"/>
      </top>
      <bottom/>
      <diagonal/>
    </border>
    <border>
      <left style="thin">
        <color theme="0"/>
      </left>
      <right/>
      <top style="medium">
        <color rgb="FFFF0000"/>
      </top>
      <bottom/>
      <diagonal/>
    </border>
    <border>
      <left/>
      <right/>
      <top style="medium">
        <color rgb="FFFF0000"/>
      </top>
      <bottom style="thin">
        <color theme="0"/>
      </bottom>
      <diagonal/>
    </border>
    <border>
      <left/>
      <right style="thin">
        <color theme="0"/>
      </right>
      <top style="medium">
        <color rgb="FFFF0000"/>
      </top>
      <bottom style="thin">
        <color theme="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rgb="FFFF0000"/>
      </left>
      <right/>
      <top style="medium">
        <color theme="0"/>
      </top>
      <bottom/>
      <diagonal/>
    </border>
    <border>
      <left/>
      <right/>
      <top style="medium">
        <color theme="0"/>
      </top>
      <bottom/>
      <diagonal/>
    </border>
    <border>
      <left style="medium">
        <color rgb="FFFF0000"/>
      </left>
      <right/>
      <top style="thin">
        <color rgb="FFFF0000"/>
      </top>
      <bottom style="thin">
        <color rgb="FFFF0000"/>
      </bottom>
      <diagonal/>
    </border>
    <border>
      <left style="thin">
        <color rgb="FFFFFF00"/>
      </left>
      <right/>
      <top style="thin">
        <color rgb="FFFF0000"/>
      </top>
      <bottom style="thin">
        <color rgb="FFFF0000"/>
      </bottom>
      <diagonal/>
    </border>
    <border>
      <left/>
      <right/>
      <top style="thin">
        <color rgb="FFFF0000"/>
      </top>
      <bottom style="thin">
        <color rgb="FFFF0000"/>
      </bottom>
      <diagonal/>
    </border>
    <border>
      <left style="thin">
        <color rgb="FFFFFF00"/>
      </left>
      <right style="thin">
        <color rgb="FFFFFF00"/>
      </right>
      <top/>
      <bottom/>
      <diagonal/>
    </border>
    <border>
      <left style="thin">
        <color rgb="FFFFFF00"/>
      </left>
      <right/>
      <top style="thin">
        <color rgb="FFFF0000"/>
      </top>
      <bottom/>
      <diagonal/>
    </border>
    <border>
      <left/>
      <right/>
      <top style="thin">
        <color rgb="FFFF0000"/>
      </top>
      <bottom/>
      <diagonal/>
    </border>
    <border>
      <left style="thin">
        <color auto="1"/>
      </left>
      <right style="medium">
        <color rgb="FFFF0000"/>
      </right>
      <top style="thin">
        <color auto="1"/>
      </top>
      <bottom style="thin">
        <color auto="1"/>
      </bottom>
      <diagonal/>
    </border>
    <border>
      <left/>
      <right style="medium">
        <color rgb="FFFF0000"/>
      </right>
      <top style="thin">
        <color auto="1"/>
      </top>
      <bottom style="thin">
        <color auto="1"/>
      </bottom>
      <diagonal/>
    </border>
    <border>
      <left style="medium">
        <color rgb="FFFF0000"/>
      </left>
      <right style="thin">
        <color rgb="FFFF0000"/>
      </right>
      <top/>
      <bottom/>
      <diagonal/>
    </border>
    <border>
      <left style="thin">
        <color auto="1"/>
      </left>
      <right style="medium">
        <color rgb="FFFF0000"/>
      </right>
      <top/>
      <bottom style="thin">
        <color auto="1"/>
      </bottom>
      <diagonal/>
    </border>
    <border>
      <left style="medium">
        <color rgb="FFFF0000"/>
      </left>
      <right/>
      <top/>
      <bottom style="double">
        <color rgb="FFFF0000"/>
      </bottom>
      <diagonal/>
    </border>
    <border>
      <left style="thin">
        <color auto="1"/>
      </left>
      <right style="medium">
        <color rgb="FFFF0000"/>
      </right>
      <top style="thin">
        <color auto="1"/>
      </top>
      <bottom style="double">
        <color rgb="FFFF0000"/>
      </bottom>
      <diagonal/>
    </border>
    <border>
      <left style="medium">
        <color rgb="FFFF0000"/>
      </left>
      <right/>
      <top style="double">
        <color rgb="FFFF0000"/>
      </top>
      <bottom style="double">
        <color rgb="FFFF0000"/>
      </bottom>
      <diagonal/>
    </border>
    <border>
      <left/>
      <right style="medium">
        <color rgb="FFFF0000"/>
      </right>
      <top style="double">
        <color rgb="FFFF0000"/>
      </top>
      <bottom style="double">
        <color rgb="FFFF0000"/>
      </bottom>
      <diagonal/>
    </border>
    <border>
      <left/>
      <right style="medium">
        <color rgb="FFFF0000"/>
      </right>
      <top/>
      <bottom style="thin">
        <color auto="1"/>
      </bottom>
      <diagonal/>
    </border>
    <border>
      <left/>
      <right style="medium">
        <color rgb="FFFF0000"/>
      </right>
      <top/>
      <bottom style="double">
        <color rgb="FFFF0000"/>
      </bottom>
      <diagonal/>
    </border>
    <border>
      <left style="medium">
        <color rgb="FFFF0000"/>
      </left>
      <right style="thin">
        <color indexed="64"/>
      </right>
      <top/>
      <bottom style="double">
        <color rgb="FFFF0000"/>
      </bottom>
      <diagonal/>
    </border>
    <border>
      <left style="thin">
        <color auto="1"/>
      </left>
      <right style="thin">
        <color auto="1"/>
      </right>
      <top style="thin">
        <color rgb="FFFF0000"/>
      </top>
      <bottom style="double">
        <color rgb="FFFF0000"/>
      </bottom>
      <diagonal/>
    </border>
    <border>
      <left style="double">
        <color theme="9" tint="-0.249977111117893"/>
      </left>
      <right/>
      <top/>
      <bottom style="thin">
        <color rgb="FFE11FAA"/>
      </bottom>
      <diagonal/>
    </border>
    <border>
      <left/>
      <right/>
      <top/>
      <bottom style="thin">
        <color rgb="FFE11FAA"/>
      </bottom>
      <diagonal/>
    </border>
    <border>
      <left style="double">
        <color theme="9" tint="-0.249977111117893"/>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rgb="FFFF0000"/>
      </right>
      <top style="thin">
        <color auto="1"/>
      </top>
      <bottom/>
      <diagonal/>
    </border>
    <border>
      <left style="thin">
        <color auto="1"/>
      </left>
      <right style="medium">
        <color indexed="64"/>
      </right>
      <top style="thin">
        <color indexed="64"/>
      </top>
      <bottom/>
      <diagonal/>
    </border>
    <border>
      <left style="thin">
        <color auto="1"/>
      </left>
      <right style="medium">
        <color indexed="64"/>
      </right>
      <top/>
      <bottom/>
      <diagonal/>
    </border>
    <border>
      <left/>
      <right/>
      <top/>
      <bottom style="thin">
        <color rgb="FFFFFF00"/>
      </bottom>
      <diagonal/>
    </border>
    <border>
      <left style="thin">
        <color auto="1"/>
      </left>
      <right style="medium">
        <color rgb="FFFF0000"/>
      </right>
      <top style="thin">
        <color auto="1"/>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rgb="FFFF0000"/>
      </left>
      <right/>
      <top style="thin">
        <color indexed="64"/>
      </top>
      <bottom style="double">
        <color indexed="64"/>
      </bottom>
      <diagonal/>
    </border>
    <border>
      <left style="thin">
        <color auto="1"/>
      </left>
      <right style="medium">
        <color rgb="FFFF0000"/>
      </right>
      <top style="thin">
        <color indexed="64"/>
      </top>
      <bottom style="double">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right/>
      <top style="thin">
        <color rgb="FFE11FAA"/>
      </top>
      <bottom/>
      <diagonal/>
    </border>
    <border>
      <left/>
      <right style="medium">
        <color rgb="FFFF0000"/>
      </right>
      <top style="thin">
        <color rgb="FFE11FAA"/>
      </top>
      <bottom/>
      <diagonal/>
    </border>
    <border>
      <left style="thin">
        <color rgb="FFFFFF00"/>
      </left>
      <right/>
      <top style="medium">
        <color rgb="FFFF0000"/>
      </top>
      <bottom style="thin">
        <color rgb="FFFF0000"/>
      </bottom>
      <diagonal/>
    </border>
    <border>
      <left/>
      <right/>
      <top style="medium">
        <color rgb="FFFF0000"/>
      </top>
      <bottom style="thin">
        <color rgb="FFFF0000"/>
      </bottom>
      <diagonal/>
    </border>
    <border>
      <left style="thin">
        <color rgb="FFFFFF00"/>
      </left>
      <right/>
      <top style="medium">
        <color rgb="FFFF0000"/>
      </top>
      <bottom style="thin">
        <color rgb="FFFFFF00"/>
      </bottom>
      <diagonal/>
    </border>
    <border>
      <left/>
      <right/>
      <top style="medium">
        <color rgb="FFFF0000"/>
      </top>
      <bottom style="thin">
        <color rgb="FFFFFF00"/>
      </bottom>
      <diagonal/>
    </border>
    <border>
      <left/>
      <right style="thin">
        <color rgb="FFFFFF00"/>
      </right>
      <top style="medium">
        <color rgb="FFFF0000"/>
      </top>
      <bottom style="thin">
        <color rgb="FFFFFF00"/>
      </bottom>
      <diagonal/>
    </border>
    <border diagonalUp="1" diagonalDown="1">
      <left style="thick">
        <color rgb="FFFF0000"/>
      </left>
      <right/>
      <top style="thin">
        <color indexed="64"/>
      </top>
      <bottom style="thin">
        <color indexed="64"/>
      </bottom>
      <diagonal style="thin">
        <color rgb="FFFFFF00"/>
      </diagonal>
    </border>
    <border>
      <left/>
      <right style="thick">
        <color rgb="FFFF0000"/>
      </right>
      <top/>
      <bottom/>
      <diagonal/>
    </border>
    <border>
      <left/>
      <right style="double">
        <color rgb="FFFF0000"/>
      </right>
      <top/>
      <bottom/>
      <diagonal/>
    </border>
    <border>
      <left style="double">
        <color rgb="FFFF0000"/>
      </left>
      <right/>
      <top/>
      <bottom/>
      <diagonal/>
    </border>
    <border>
      <left/>
      <right style="medium">
        <color rgb="FFFF0000"/>
      </right>
      <top/>
      <bottom/>
      <diagonal/>
    </border>
    <border>
      <left style="thin">
        <color auto="1"/>
      </left>
      <right style="medium">
        <color rgb="FFFF0000"/>
      </right>
      <top/>
      <bottom style="double">
        <color indexed="64"/>
      </bottom>
      <diagonal/>
    </border>
    <border>
      <left/>
      <right style="medium">
        <color rgb="FFFF0000"/>
      </right>
      <top style="double">
        <color rgb="FFFF0000"/>
      </top>
      <bottom style="double">
        <color indexed="64"/>
      </bottom>
      <diagonal/>
    </border>
    <border>
      <left/>
      <right/>
      <top/>
      <bottom style="thin">
        <color rgb="FFFF0000"/>
      </bottom>
      <diagonal/>
    </border>
    <border>
      <left/>
      <right/>
      <top style="thin">
        <color rgb="FFFF0000"/>
      </top>
      <bottom style="thin">
        <color indexed="8"/>
      </bottom>
      <diagonal/>
    </border>
    <border>
      <left style="medium">
        <color rgb="FFE11FAA"/>
      </left>
      <right style="medium">
        <color rgb="FFE11FAA"/>
      </right>
      <top/>
      <bottom/>
      <diagonal/>
    </border>
    <border>
      <left/>
      <right/>
      <top style="thin">
        <color indexed="8"/>
      </top>
      <bottom/>
      <diagonal/>
    </border>
    <border>
      <left/>
      <right/>
      <top style="thin">
        <color indexed="53"/>
      </top>
      <bottom style="thin">
        <color rgb="FFFF0000"/>
      </bottom>
      <diagonal/>
    </border>
    <border>
      <left/>
      <right/>
      <top style="thin">
        <color indexed="53"/>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rgb="FFE11FAA"/>
      </left>
      <right/>
      <top/>
      <bottom style="thin">
        <color auto="1"/>
      </bottom>
      <diagonal/>
    </border>
    <border>
      <left/>
      <right style="medium">
        <color rgb="FFFF0000"/>
      </right>
      <top/>
      <bottom style="thin">
        <color auto="1"/>
      </bottom>
      <diagonal/>
    </border>
    <border>
      <left style="medium">
        <color rgb="FFFF0000"/>
      </left>
      <right style="medium">
        <color rgb="FFFF0000"/>
      </right>
      <top style="thin">
        <color auto="1"/>
      </top>
      <bottom/>
      <diagonal/>
    </border>
    <border>
      <left style="medium">
        <color rgb="FFFF0000"/>
      </left>
      <right style="medium">
        <color rgb="FFFF0000"/>
      </right>
      <top/>
      <bottom/>
      <diagonal/>
    </border>
    <border>
      <left style="medium">
        <color rgb="FFFF0000"/>
      </left>
      <right style="medium">
        <color rgb="FFFF0000"/>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rgb="FF7030A0"/>
      </left>
      <right/>
      <top style="medium">
        <color rgb="FF7030A0"/>
      </top>
      <bottom style="thin">
        <color theme="9" tint="-0.249977111117893"/>
      </bottom>
      <diagonal/>
    </border>
    <border>
      <left/>
      <right/>
      <top style="medium">
        <color rgb="FF7030A0"/>
      </top>
      <bottom style="thin">
        <color theme="9" tint="-0.249977111117893"/>
      </bottom>
      <diagonal/>
    </border>
    <border>
      <left/>
      <right style="medium">
        <color theme="9" tint="-0.249977111117893"/>
      </right>
      <top style="medium">
        <color rgb="FF7030A0"/>
      </top>
      <bottom style="thin">
        <color theme="9" tint="-0.249977111117893"/>
      </bottom>
      <diagonal/>
    </border>
    <border>
      <left/>
      <right/>
      <top style="medium">
        <color rgb="FF7030A0"/>
      </top>
      <bottom/>
      <diagonal/>
    </border>
    <border>
      <left style="medium">
        <color theme="9" tint="-0.249977111117893"/>
      </left>
      <right/>
      <top/>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rgb="FF7030A0"/>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style="medium">
        <color theme="9" tint="-0.249977111117893"/>
      </right>
      <top style="thin">
        <color theme="9" tint="-0.249977111117893"/>
      </top>
      <bottom style="thin">
        <color theme="9" tint="-0.249977111117893"/>
      </bottom>
      <diagonal/>
    </border>
    <border>
      <left style="medium">
        <color theme="9" tint="-0.249977111117893"/>
      </left>
      <right style="medium">
        <color theme="9" tint="-0.249977111117893"/>
      </right>
      <top/>
      <bottom/>
      <diagonal/>
    </border>
    <border>
      <left style="medium">
        <color theme="9" tint="-0.249977111117893"/>
      </left>
      <right/>
      <top/>
      <bottom style="thin">
        <color theme="9" tint="-0.249977111117893"/>
      </bottom>
      <diagonal/>
    </border>
    <border>
      <left/>
      <right/>
      <top/>
      <bottom style="thin">
        <color theme="9" tint="-0.249977111117893"/>
      </bottom>
      <diagonal/>
    </border>
    <border>
      <left/>
      <right style="medium">
        <color theme="9" tint="-0.249977111117893"/>
      </right>
      <top/>
      <bottom style="thin">
        <color theme="9" tint="-0.249977111117893"/>
      </bottom>
      <diagonal/>
    </border>
    <border>
      <left style="medium">
        <color rgb="FF7030A0"/>
      </left>
      <right/>
      <top/>
      <bottom style="thin">
        <color theme="9" tint="-0.249977111117893"/>
      </bottom>
      <diagonal/>
    </border>
    <border>
      <left/>
      <right style="thin">
        <color theme="9" tint="-0.249977111117893"/>
      </right>
      <top/>
      <bottom style="thin">
        <color theme="9" tint="-0.249977111117893"/>
      </bottom>
      <diagonal/>
    </border>
    <border>
      <left style="medium">
        <color theme="9" tint="-0.249977111117893"/>
      </left>
      <right/>
      <top style="thin">
        <color theme="9" tint="-0.249977111117893"/>
      </top>
      <bottom style="thin">
        <color theme="9" tint="-0.249977111117893"/>
      </bottom>
      <diagonal/>
    </border>
    <border>
      <left style="thin">
        <color theme="9" tint="-0.249977111117893"/>
      </left>
      <right/>
      <top/>
      <bottom style="thin">
        <color theme="9" tint="-0.249977111117893"/>
      </bottom>
      <diagonal/>
    </border>
    <border>
      <left style="medium">
        <color theme="9" tint="-0.249977111117893"/>
      </left>
      <right/>
      <top style="thin">
        <color theme="9" tint="-0.249977111117893"/>
      </top>
      <bottom/>
      <diagonal/>
    </border>
    <border>
      <left/>
      <right/>
      <top style="thin">
        <color theme="9" tint="-0.249977111117893"/>
      </top>
      <bottom/>
      <diagonal/>
    </border>
    <border>
      <left/>
      <right style="medium">
        <color theme="9" tint="-0.249977111117893"/>
      </right>
      <top style="thin">
        <color theme="9" tint="-0.249977111117893"/>
      </top>
      <bottom/>
      <diagonal/>
    </border>
    <border>
      <left/>
      <right style="medium">
        <color theme="9" tint="-0.249977111117893"/>
      </right>
      <top/>
      <bottom/>
      <diagonal/>
    </border>
    <border>
      <left/>
      <right/>
      <top/>
      <bottom style="medium">
        <color rgb="FF7030A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medium">
        <color indexed="8"/>
      </top>
      <bottom style="medium">
        <color indexed="8"/>
      </bottom>
      <diagonal/>
    </border>
    <border>
      <left/>
      <right style="thin">
        <color indexed="8"/>
      </right>
      <top style="thin">
        <color indexed="53"/>
      </top>
      <bottom style="thin">
        <color rgb="FFFF0000"/>
      </bottom>
      <diagonal/>
    </border>
    <border>
      <left/>
      <right style="thin">
        <color rgb="FF0070C0"/>
      </right>
      <top/>
      <bottom/>
      <diagonal/>
    </border>
    <border>
      <left/>
      <right style="thick">
        <color indexed="8"/>
      </right>
      <top style="thick">
        <color indexed="12"/>
      </top>
      <bottom style="thin">
        <color indexed="8"/>
      </bottom>
      <diagonal/>
    </border>
    <border>
      <left/>
      <right style="medium">
        <color rgb="FF0070C0"/>
      </right>
      <top/>
      <bottom/>
      <diagonal/>
    </border>
    <border>
      <left/>
      <right style="thick">
        <color indexed="8"/>
      </right>
      <top style="thin">
        <color indexed="8"/>
      </top>
      <bottom style="thin">
        <color indexed="8"/>
      </bottom>
      <diagonal/>
    </border>
    <border>
      <left style="medium">
        <color rgb="FF0070C0"/>
      </left>
      <right style="thick">
        <color indexed="8"/>
      </right>
      <top style="thin">
        <color indexed="8"/>
      </top>
      <bottom style="medium">
        <color rgb="FF0070C0"/>
      </bottom>
      <diagonal/>
    </border>
    <border>
      <left/>
      <right style="thick">
        <color indexed="8"/>
      </right>
      <top/>
      <bottom style="thin">
        <color indexed="8"/>
      </bottom>
      <diagonal/>
    </border>
    <border>
      <left/>
      <right style="thick">
        <color indexed="12"/>
      </right>
      <top style="thick">
        <color rgb="FF0070C0"/>
      </top>
      <bottom style="thick">
        <color indexed="12"/>
      </bottom>
      <diagonal/>
    </border>
    <border>
      <left/>
      <right style="thick">
        <color indexed="12"/>
      </right>
      <top/>
      <bottom/>
      <diagonal/>
    </border>
    <border>
      <left/>
      <right style="thick">
        <color indexed="12"/>
      </right>
      <top style="thin">
        <color rgb="FFFF0000"/>
      </top>
      <bottom style="thin">
        <color rgb="FFFF0000"/>
      </bottom>
      <diagonal/>
    </border>
    <border>
      <left/>
      <right style="thick">
        <color indexed="12"/>
      </right>
      <top/>
      <bottom style="thin">
        <color rgb="FFFF0000"/>
      </bottom>
      <diagonal/>
    </border>
    <border>
      <left/>
      <right style="thin">
        <color indexed="8"/>
      </right>
      <top/>
      <bottom/>
      <diagonal/>
    </border>
    <border>
      <left/>
      <right style="thin">
        <color indexed="22"/>
      </right>
      <top style="thin">
        <color rgb="FFFF0000"/>
      </top>
      <bottom style="thin">
        <color indexed="8"/>
      </bottom>
      <diagonal/>
    </border>
    <border>
      <left/>
      <right style="thin">
        <color indexed="8"/>
      </right>
      <top style="thin">
        <color indexed="8"/>
      </top>
      <bottom style="thin">
        <color indexed="53"/>
      </bottom>
      <diagonal/>
    </border>
    <border>
      <left/>
      <right style="thin">
        <color indexed="8"/>
      </right>
      <top style="thin">
        <color indexed="53"/>
      </top>
      <bottom style="thin">
        <color indexed="53"/>
      </bottom>
      <diagonal/>
    </border>
    <border>
      <left/>
      <right style="thin">
        <color indexed="22"/>
      </right>
      <top style="thin">
        <color indexed="53"/>
      </top>
      <bottom style="thin">
        <color rgb="FFFF0000"/>
      </bottom>
      <diagonal/>
    </border>
    <border>
      <left/>
      <right style="thin">
        <color indexed="22"/>
      </right>
      <top/>
      <bottom style="thin">
        <color indexed="22"/>
      </bottom>
      <diagonal/>
    </border>
    <border>
      <left/>
      <right style="thin">
        <color indexed="53"/>
      </right>
      <top style="thin">
        <color indexed="53"/>
      </top>
      <bottom style="thin">
        <color indexed="53"/>
      </bottom>
      <diagonal/>
    </border>
    <border>
      <left/>
      <right style="thin">
        <color indexed="8"/>
      </right>
      <top style="thin">
        <color rgb="FFFF0000"/>
      </top>
      <bottom style="thin">
        <color indexed="8"/>
      </bottom>
      <diagonal/>
    </border>
    <border>
      <left style="thin">
        <color theme="9" tint="-0.249977111117893"/>
      </left>
      <right/>
      <top/>
      <bottom/>
      <diagonal/>
    </border>
    <border>
      <left/>
      <right style="thin">
        <color auto="1"/>
      </right>
      <top style="thin">
        <color theme="9" tint="-0.249977111117893"/>
      </top>
      <bottom/>
      <diagonal/>
    </border>
    <border>
      <left/>
      <right/>
      <top style="thin">
        <color indexed="8"/>
      </top>
      <bottom style="thin">
        <color rgb="FFFF0000"/>
      </bottom>
      <diagonal/>
    </border>
    <border>
      <left/>
      <right/>
      <top style="thin">
        <color indexed="8"/>
      </top>
      <bottom style="thin">
        <color indexed="8"/>
      </bottom>
      <diagonal/>
    </border>
  </borders>
  <cellStyleXfs count="17">
    <xf numFmtId="0" fontId="0" fillId="0" borderId="0"/>
    <xf numFmtId="0" fontId="4" fillId="0" borderId="0" applyNumberFormat="0" applyFill="0" applyBorder="0" applyAlignment="0" applyProtection="0">
      <alignment vertical="top"/>
      <protection locked="0"/>
    </xf>
    <xf numFmtId="0" fontId="33" fillId="0" borderId="0"/>
    <xf numFmtId="0" fontId="33" fillId="0" borderId="0"/>
    <xf numFmtId="0" fontId="97" fillId="0" borderId="0"/>
    <xf numFmtId="164" fontId="199" fillId="0" borderId="0" applyFont="0" applyFill="0" applyBorder="0" applyAlignment="0" applyProtection="0"/>
    <xf numFmtId="0" fontId="130" fillId="0" borderId="0" applyNumberFormat="0" applyFill="0" applyBorder="0" applyAlignment="0" applyProtection="0">
      <alignment vertical="top"/>
      <protection locked="0"/>
    </xf>
    <xf numFmtId="173" fontId="207" fillId="0" borderId="0" applyFont="0" applyFill="0" applyBorder="0" applyAlignment="0" applyProtection="0"/>
    <xf numFmtId="173" fontId="207" fillId="0" borderId="0" applyFont="0" applyFill="0" applyBorder="0" applyAlignment="0" applyProtection="0"/>
    <xf numFmtId="173" fontId="207" fillId="0" borderId="0" applyFont="0" applyFill="0" applyBorder="0" applyAlignment="0" applyProtection="0"/>
    <xf numFmtId="0" fontId="208" fillId="0" borderId="0"/>
    <xf numFmtId="0" fontId="208" fillId="0" borderId="0"/>
    <xf numFmtId="0" fontId="208" fillId="0" borderId="0"/>
    <xf numFmtId="0" fontId="208" fillId="0" borderId="0"/>
    <xf numFmtId="0" fontId="208" fillId="0" borderId="0"/>
    <xf numFmtId="0" fontId="208" fillId="0" borderId="0"/>
    <xf numFmtId="0" fontId="208" fillId="0" borderId="0"/>
  </cellStyleXfs>
  <cellXfs count="969">
    <xf numFmtId="0" fontId="0" fillId="0" borderId="0" xfId="0"/>
    <xf numFmtId="0" fontId="3" fillId="0" borderId="0" xfId="0" applyFont="1" applyFill="1" applyBorder="1" applyAlignment="1" applyProtection="1">
      <alignment vertical="center"/>
    </xf>
    <xf numFmtId="0" fontId="1" fillId="0" borderId="0" xfId="0" applyFont="1"/>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9" fontId="10" fillId="2" borderId="4" xfId="0" applyNumberFormat="1" applyFont="1" applyFill="1" applyBorder="1" applyAlignment="1">
      <alignment horizontal="center" vertical="center" wrapText="1"/>
    </xf>
    <xf numFmtId="9" fontId="10"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12" fillId="2" borderId="0" xfId="0" applyFont="1" applyFill="1"/>
    <xf numFmtId="0" fontId="12" fillId="2" borderId="0" xfId="0" applyFont="1" applyFill="1" applyAlignment="1">
      <alignment horizontal="center"/>
    </xf>
    <xf numFmtId="167" fontId="12" fillId="2" borderId="0" xfId="0" applyNumberFormat="1" applyFont="1" applyFill="1"/>
    <xf numFmtId="14" fontId="0" fillId="0" borderId="0" xfId="0" applyNumberFormat="1"/>
    <xf numFmtId="0" fontId="10" fillId="2"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0" fillId="0" borderId="4" xfId="0" applyFont="1" applyBorder="1" applyAlignment="1" applyProtection="1">
      <alignment horizontal="center" vertical="center" wrapText="1"/>
    </xf>
    <xf numFmtId="49" fontId="20" fillId="0" borderId="4" xfId="0" applyNumberFormat="1" applyFont="1" applyBorder="1" applyAlignment="1" applyProtection="1">
      <alignment horizontal="center" vertical="center" wrapText="1"/>
    </xf>
    <xf numFmtId="0" fontId="20" fillId="0" borderId="4" xfId="0" applyFont="1" applyBorder="1" applyAlignment="1">
      <alignment horizontal="center" vertical="center" wrapText="1"/>
    </xf>
    <xf numFmtId="0" fontId="6" fillId="0" borderId="4" xfId="0" applyFont="1" applyBorder="1" applyAlignment="1">
      <alignment vertical="center" wrapText="1"/>
    </xf>
    <xf numFmtId="0" fontId="20" fillId="0" borderId="4" xfId="0" applyFont="1" applyBorder="1" applyAlignment="1">
      <alignment horizontal="right" vertical="center" wrapText="1"/>
    </xf>
    <xf numFmtId="0" fontId="8" fillId="0" borderId="4" xfId="0" applyFont="1" applyBorder="1" applyAlignment="1">
      <alignment horizontal="center" vertical="center" wrapText="1"/>
    </xf>
    <xf numFmtId="2" fontId="22" fillId="0" borderId="0" xfId="0" applyNumberFormat="1" applyFont="1" applyBorder="1" applyAlignment="1">
      <alignment horizontal="center" vertical="center" wrapText="1"/>
    </xf>
    <xf numFmtId="0" fontId="32" fillId="2" borderId="41" xfId="0" applyFont="1" applyFill="1" applyBorder="1" applyAlignment="1" applyProtection="1">
      <alignment horizontal="center" vertical="center" wrapText="1"/>
    </xf>
    <xf numFmtId="22" fontId="0" fillId="0" borderId="0" xfId="0" applyNumberFormat="1"/>
    <xf numFmtId="0" fontId="39" fillId="2" borderId="4" xfId="0" applyFont="1" applyFill="1" applyBorder="1" applyAlignment="1">
      <alignment horizontal="center" vertical="center"/>
    </xf>
    <xf numFmtId="166" fontId="39" fillId="2" borderId="4" xfId="0" applyNumberFormat="1" applyFont="1" applyFill="1" applyBorder="1" applyAlignment="1">
      <alignment horizontal="center" vertical="center"/>
    </xf>
    <xf numFmtId="0" fontId="39" fillId="6" borderId="4" xfId="0" applyFont="1" applyFill="1" applyBorder="1" applyAlignment="1" applyProtection="1">
      <alignment horizontal="center" vertical="center"/>
      <protection locked="0"/>
    </xf>
    <xf numFmtId="0" fontId="39" fillId="0" borderId="4" xfId="0" applyFont="1" applyFill="1" applyBorder="1" applyAlignment="1">
      <alignment horizontal="center" vertical="center"/>
    </xf>
    <xf numFmtId="0" fontId="39" fillId="2" borderId="4" xfId="0" applyFont="1" applyFill="1" applyBorder="1" applyAlignment="1" applyProtection="1">
      <alignment horizontal="center" vertical="center"/>
    </xf>
    <xf numFmtId="0" fontId="39" fillId="2" borderId="4" xfId="0" applyFont="1" applyFill="1" applyBorder="1" applyAlignment="1" applyProtection="1">
      <alignment horizontal="center" vertical="center"/>
      <protection locked="0" hidden="1"/>
    </xf>
    <xf numFmtId="0" fontId="39" fillId="2" borderId="4" xfId="0" applyFont="1" applyFill="1" applyBorder="1" applyAlignment="1" applyProtection="1">
      <alignment horizontal="center" vertical="center"/>
      <protection locked="0"/>
    </xf>
    <xf numFmtId="0" fontId="39" fillId="0" borderId="4" xfId="0" applyFont="1" applyFill="1" applyBorder="1" applyAlignment="1" applyProtection="1">
      <alignment horizontal="center" vertical="center"/>
      <protection locked="0"/>
    </xf>
    <xf numFmtId="0" fontId="39" fillId="2" borderId="1" xfId="0" applyFont="1" applyFill="1" applyBorder="1" applyAlignment="1" applyProtection="1">
      <alignment horizontal="center" vertical="center"/>
      <protection locked="0"/>
    </xf>
    <xf numFmtId="1" fontId="39" fillId="2" borderId="4" xfId="0" applyNumberFormat="1" applyFont="1" applyFill="1" applyBorder="1" applyAlignment="1">
      <alignment horizontal="center" vertical="center"/>
    </xf>
    <xf numFmtId="2" fontId="39" fillId="2" borderId="4" xfId="0" applyNumberFormat="1" applyFont="1" applyFill="1" applyBorder="1" applyAlignment="1">
      <alignment horizontal="center" vertical="center"/>
    </xf>
    <xf numFmtId="17" fontId="39" fillId="0" borderId="4" xfId="0" applyNumberFormat="1" applyFont="1" applyBorder="1" applyAlignment="1" applyProtection="1">
      <alignment horizontal="center" vertical="center"/>
      <protection locked="0"/>
    </xf>
    <xf numFmtId="1" fontId="39" fillId="2" borderId="4" xfId="0" applyNumberFormat="1" applyFont="1" applyFill="1" applyBorder="1" applyAlignment="1" applyProtection="1">
      <alignment horizontal="center" vertical="center"/>
    </xf>
    <xf numFmtId="0" fontId="0" fillId="30" borderId="0" xfId="0" applyFill="1"/>
    <xf numFmtId="0" fontId="0" fillId="0" borderId="0" xfId="0" applyAlignment="1">
      <alignment horizontal="center"/>
    </xf>
    <xf numFmtId="0" fontId="17" fillId="0" borderId="4" xfId="2" applyFont="1" applyBorder="1" applyAlignment="1">
      <alignment horizontal="center" vertical="center"/>
    </xf>
    <xf numFmtId="2" fontId="43" fillId="0" borderId="4" xfId="2" applyNumberFormat="1" applyFont="1" applyBorder="1" applyAlignment="1">
      <alignment horizontal="center" vertical="center"/>
    </xf>
    <xf numFmtId="2" fontId="43" fillId="33" borderId="4" xfId="2" applyNumberFormat="1" applyFont="1" applyFill="1" applyBorder="1" applyAlignment="1">
      <alignment horizontal="center" vertical="center"/>
    </xf>
    <xf numFmtId="0" fontId="46" fillId="0" borderId="0" xfId="2" applyFont="1" applyBorder="1" applyAlignment="1">
      <alignment horizontal="right" vertical="center"/>
    </xf>
    <xf numFmtId="0" fontId="37" fillId="0" borderId="0" xfId="2" applyFont="1" applyBorder="1"/>
    <xf numFmtId="0" fontId="23" fillId="0" borderId="0" xfId="2" applyFont="1" applyBorder="1"/>
    <xf numFmtId="0" fontId="37" fillId="0" borderId="0" xfId="2" applyFont="1"/>
    <xf numFmtId="0" fontId="23" fillId="0" borderId="0" xfId="2" applyFont="1"/>
    <xf numFmtId="165" fontId="44" fillId="0" borderId="26" xfId="2" applyNumberFormat="1" applyFont="1" applyBorder="1" applyAlignment="1">
      <alignment vertical="center"/>
    </xf>
    <xf numFmtId="165" fontId="48" fillId="0" borderId="68" xfId="2" applyNumberFormat="1" applyFont="1" applyBorder="1" applyAlignment="1">
      <alignment vertical="center"/>
    </xf>
    <xf numFmtId="0" fontId="0" fillId="2" borderId="0" xfId="0" applyFill="1"/>
    <xf numFmtId="0" fontId="0" fillId="30" borderId="0" xfId="0" applyFill="1" applyAlignment="1">
      <alignment horizontal="center"/>
    </xf>
    <xf numFmtId="165" fontId="20" fillId="0" borderId="4" xfId="0" applyNumberFormat="1" applyFont="1" applyBorder="1" applyAlignment="1">
      <alignment horizontal="right" vertical="center" wrapText="1"/>
    </xf>
    <xf numFmtId="0" fontId="22" fillId="0" borderId="4" xfId="0" applyFont="1" applyBorder="1" applyAlignment="1">
      <alignment horizontal="center" vertical="center" wrapText="1"/>
    </xf>
    <xf numFmtId="0" fontId="0" fillId="0" borderId="0" xfId="0"/>
    <xf numFmtId="2" fontId="20" fillId="0" borderId="1" xfId="0" applyNumberFormat="1" applyFont="1" applyBorder="1" applyAlignment="1">
      <alignment horizontal="center"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165" fontId="19" fillId="13" borderId="9" xfId="0" applyNumberFormat="1" applyFont="1" applyFill="1" applyBorder="1" applyAlignment="1">
      <alignment horizontal="right" vertical="center" wrapText="1"/>
    </xf>
    <xf numFmtId="165" fontId="19" fillId="13" borderId="17" xfId="0" applyNumberFormat="1" applyFont="1" applyFill="1" applyBorder="1" applyAlignment="1">
      <alignment horizontal="right" vertical="center" wrapText="1"/>
    </xf>
    <xf numFmtId="165" fontId="19" fillId="13" borderId="13" xfId="0" applyNumberFormat="1" applyFont="1" applyFill="1" applyBorder="1" applyAlignment="1">
      <alignment horizontal="right" vertical="center" wrapText="1"/>
    </xf>
    <xf numFmtId="165" fontId="19" fillId="13" borderId="11" xfId="0" applyNumberFormat="1" applyFont="1" applyFill="1" applyBorder="1" applyAlignment="1">
      <alignment horizontal="right" vertical="center" wrapText="1"/>
    </xf>
    <xf numFmtId="165" fontId="20" fillId="13" borderId="8" xfId="0" applyNumberFormat="1" applyFont="1" applyFill="1" applyBorder="1" applyAlignment="1">
      <alignment vertical="center" wrapText="1"/>
    </xf>
    <xf numFmtId="165" fontId="20" fillId="13" borderId="10" xfId="0" applyNumberFormat="1" applyFont="1" applyFill="1" applyBorder="1" applyAlignment="1">
      <alignment vertical="center" wrapText="1"/>
    </xf>
    <xf numFmtId="165" fontId="20" fillId="13" borderId="9" xfId="0" applyNumberFormat="1" applyFont="1" applyFill="1" applyBorder="1" applyAlignment="1">
      <alignment vertical="center" wrapText="1"/>
    </xf>
    <xf numFmtId="165" fontId="20" fillId="13" borderId="17" xfId="0" applyNumberFormat="1" applyFont="1" applyFill="1" applyBorder="1" applyAlignment="1">
      <alignment vertical="center" wrapText="1"/>
    </xf>
    <xf numFmtId="165" fontId="20" fillId="13" borderId="17" xfId="0" applyNumberFormat="1" applyFont="1" applyFill="1" applyBorder="1" applyAlignment="1">
      <alignment wrapText="1"/>
    </xf>
    <xf numFmtId="165" fontId="20" fillId="13" borderId="9" xfId="0" applyNumberFormat="1" applyFont="1" applyFill="1" applyBorder="1" applyAlignment="1">
      <alignment wrapText="1"/>
    </xf>
    <xf numFmtId="165" fontId="29" fillId="14" borderId="9" xfId="0" applyNumberFormat="1" applyFont="1" applyFill="1" applyBorder="1" applyAlignment="1">
      <alignment wrapText="1"/>
    </xf>
    <xf numFmtId="165" fontId="29" fillId="14" borderId="17" xfId="0" applyNumberFormat="1" applyFont="1" applyFill="1" applyBorder="1" applyAlignment="1">
      <alignment wrapText="1"/>
    </xf>
    <xf numFmtId="165" fontId="29" fillId="14" borderId="13" xfId="0" applyNumberFormat="1" applyFont="1" applyFill="1" applyBorder="1" applyAlignment="1">
      <alignment wrapText="1"/>
    </xf>
    <xf numFmtId="165" fontId="29" fillId="14" borderId="11" xfId="0" applyNumberFormat="1" applyFont="1" applyFill="1" applyBorder="1" applyAlignment="1">
      <alignment wrapText="1"/>
    </xf>
    <xf numFmtId="165" fontId="19" fillId="14" borderId="9" xfId="0" applyNumberFormat="1" applyFont="1" applyFill="1" applyBorder="1" applyAlignment="1">
      <alignment vertical="center" wrapText="1"/>
    </xf>
    <xf numFmtId="165" fontId="19" fillId="14" borderId="17" xfId="0" applyNumberFormat="1" applyFont="1" applyFill="1" applyBorder="1" applyAlignment="1">
      <alignment vertical="center" wrapText="1"/>
    </xf>
    <xf numFmtId="0" fontId="0" fillId="0" borderId="4" xfId="0" applyBorder="1" applyAlignment="1">
      <alignment horizontal="center"/>
    </xf>
    <xf numFmtId="0" fontId="35" fillId="17" borderId="0" xfId="0" applyFont="1" applyFill="1" applyAlignment="1">
      <alignment vertical="center" wrapText="1"/>
    </xf>
    <xf numFmtId="0" fontId="0" fillId="0" borderId="0" xfId="0"/>
    <xf numFmtId="0" fontId="8" fillId="0" borderId="4" xfId="0" applyFont="1" applyBorder="1" applyAlignment="1">
      <alignment horizontal="center" vertical="center" wrapText="1"/>
    </xf>
    <xf numFmtId="0" fontId="53" fillId="9" borderId="0" xfId="1" applyFont="1" applyFill="1" applyAlignment="1" applyProtection="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5" xfId="0" applyFont="1" applyBorder="1" applyAlignment="1">
      <alignment horizontal="center" vertical="center" wrapText="1"/>
    </xf>
    <xf numFmtId="0" fontId="39" fillId="6" borderId="4" xfId="0" applyFont="1" applyFill="1" applyBorder="1" applyAlignment="1" applyProtection="1">
      <alignment horizontal="center" vertical="center"/>
      <protection locked="0" hidden="1"/>
    </xf>
    <xf numFmtId="2" fontId="21" fillId="0" borderId="4" xfId="0" applyNumberFormat="1" applyFont="1" applyBorder="1" applyAlignment="1">
      <alignment horizontal="center" vertical="center"/>
    </xf>
    <xf numFmtId="0" fontId="22" fillId="0" borderId="12" xfId="0" applyFont="1" applyBorder="1" applyAlignment="1">
      <alignment horizontal="center" vertical="center" wrapText="1"/>
    </xf>
    <xf numFmtId="165" fontId="48" fillId="0" borderId="22" xfId="2" applyNumberFormat="1" applyFont="1" applyBorder="1" applyAlignment="1">
      <alignment vertical="center"/>
    </xf>
    <xf numFmtId="165" fontId="12" fillId="0" borderId="22" xfId="2" applyNumberFormat="1" applyFont="1" applyBorder="1" applyAlignment="1">
      <alignment vertical="center"/>
    </xf>
    <xf numFmtId="165" fontId="38" fillId="2" borderId="22" xfId="0" applyNumberFormat="1" applyFont="1" applyFill="1" applyBorder="1" applyAlignment="1"/>
    <xf numFmtId="165" fontId="38" fillId="0" borderId="22" xfId="2" applyNumberFormat="1" applyFont="1" applyBorder="1" applyAlignment="1">
      <alignment vertical="center"/>
    </xf>
    <xf numFmtId="165" fontId="7" fillId="0" borderId="22" xfId="2" applyNumberFormat="1" applyFont="1" applyBorder="1" applyAlignment="1">
      <alignment vertical="center"/>
    </xf>
    <xf numFmtId="165" fontId="37" fillId="0" borderId="20" xfId="2" applyNumberFormat="1" applyFont="1" applyBorder="1" applyAlignment="1">
      <alignment vertical="center" wrapText="1"/>
    </xf>
    <xf numFmtId="165" fontId="38" fillId="0" borderId="20" xfId="2" applyNumberFormat="1" applyFont="1" applyBorder="1" applyAlignment="1">
      <alignment vertical="center" wrapText="1"/>
    </xf>
    <xf numFmtId="165" fontId="38" fillId="0" borderId="27" xfId="2" applyNumberFormat="1" applyFont="1" applyBorder="1" applyAlignment="1">
      <alignment vertical="center"/>
    </xf>
    <xf numFmtId="2" fontId="38" fillId="0" borderId="0" xfId="2" applyNumberFormat="1" applyFont="1" applyBorder="1" applyAlignment="1">
      <alignment vertical="center"/>
    </xf>
    <xf numFmtId="0" fontId="0" fillId="0" borderId="0" xfId="0" applyAlignment="1"/>
    <xf numFmtId="0" fontId="23" fillId="0" borderId="0" xfId="2" applyFont="1" applyAlignment="1"/>
    <xf numFmtId="165" fontId="17" fillId="0" borderId="4" xfId="0" applyNumberFormat="1" applyFont="1" applyBorder="1" applyAlignment="1">
      <alignment vertical="center"/>
    </xf>
    <xf numFmtId="0" fontId="0" fillId="30" borderId="0" xfId="0" applyFill="1" applyAlignment="1">
      <alignment horizontal="center" vertical="center"/>
    </xf>
    <xf numFmtId="0" fontId="0" fillId="0" borderId="0" xfId="0" applyAlignment="1">
      <alignment horizontal="center" vertical="center"/>
    </xf>
    <xf numFmtId="0" fontId="24" fillId="0" borderId="4" xfId="0" applyFont="1" applyFill="1" applyBorder="1" applyAlignment="1" applyProtection="1">
      <alignment horizontal="center" vertical="center" wrapText="1"/>
      <protection locked="0"/>
    </xf>
    <xf numFmtId="0" fontId="6" fillId="43" borderId="4" xfId="0" applyFont="1" applyFill="1" applyBorder="1" applyAlignment="1" applyProtection="1">
      <alignment horizontal="center" vertical="center" wrapText="1"/>
      <protection locked="0"/>
    </xf>
    <xf numFmtId="2" fontId="8" fillId="0" borderId="0" xfId="0" applyNumberFormat="1" applyFont="1" applyBorder="1" applyAlignment="1">
      <alignment horizontal="left" vertical="center" wrapText="1"/>
    </xf>
    <xf numFmtId="0" fontId="8" fillId="0" borderId="8" xfId="0" applyFont="1" applyBorder="1" applyAlignment="1">
      <alignment horizontal="center" vertical="center" wrapText="1"/>
    </xf>
    <xf numFmtId="0" fontId="57" fillId="0" borderId="9" xfId="0" applyFont="1" applyBorder="1" applyAlignment="1">
      <alignment horizontal="right" vertical="center" wrapText="1"/>
    </xf>
    <xf numFmtId="0" fontId="20" fillId="0" borderId="5" xfId="0" applyFont="1" applyBorder="1" applyAlignment="1">
      <alignment horizontal="right" vertical="center" wrapText="1"/>
    </xf>
    <xf numFmtId="0" fontId="20" fillId="0" borderId="13" xfId="0" applyFont="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7" fillId="0" borderId="2" xfId="2" applyFont="1" applyBorder="1" applyAlignment="1">
      <alignment vertical="center"/>
    </xf>
    <xf numFmtId="0" fontId="59" fillId="0" borderId="21" xfId="2" applyFont="1" applyBorder="1" applyAlignment="1">
      <alignment horizontal="center" vertical="center"/>
    </xf>
    <xf numFmtId="0" fontId="38" fillId="0" borderId="18" xfId="2" applyFont="1" applyBorder="1" applyAlignment="1">
      <alignment horizontal="center" vertical="center"/>
    </xf>
    <xf numFmtId="0" fontId="38" fillId="0" borderId="21" xfId="2" applyFont="1" applyBorder="1" applyAlignment="1">
      <alignment horizontal="center" vertical="center"/>
    </xf>
    <xf numFmtId="0" fontId="45" fillId="0" borderId="63" xfId="2" applyFont="1" applyFill="1" applyBorder="1" applyAlignment="1">
      <alignment horizontal="center" vertical="center"/>
    </xf>
    <xf numFmtId="0" fontId="4" fillId="0" borderId="0" xfId="1" applyAlignment="1" applyProtection="1">
      <alignment vertical="center"/>
    </xf>
    <xf numFmtId="0" fontId="55" fillId="0" borderId="0" xfId="2" applyFont="1" applyBorder="1" applyAlignment="1">
      <alignment vertical="top" wrapText="1"/>
    </xf>
    <xf numFmtId="0" fontId="4" fillId="0" borderId="0" xfId="1" applyBorder="1" applyAlignment="1" applyProtection="1">
      <alignment vertical="center"/>
    </xf>
    <xf numFmtId="169" fontId="31" fillId="16" borderId="30" xfId="0" applyNumberFormat="1" applyFont="1" applyFill="1" applyBorder="1" applyAlignment="1" applyProtection="1">
      <alignment horizontal="center" vertical="center" wrapText="1"/>
    </xf>
    <xf numFmtId="0" fontId="73" fillId="0" borderId="5" xfId="0" applyFont="1" applyBorder="1" applyAlignment="1" applyProtection="1">
      <alignment horizontal="center" vertical="center"/>
      <protection locked="0"/>
    </xf>
    <xf numFmtId="0" fontId="73" fillId="0" borderId="58" xfId="0" applyFont="1" applyBorder="1" applyAlignment="1" applyProtection="1">
      <alignment horizontal="center" vertical="center"/>
      <protection locked="0"/>
    </xf>
    <xf numFmtId="2" fontId="74" fillId="0" borderId="47" xfId="0" applyNumberFormat="1" applyFont="1" applyFill="1" applyBorder="1" applyAlignment="1" applyProtection="1">
      <alignment horizontal="center" vertical="center"/>
      <protection locked="0"/>
    </xf>
    <xf numFmtId="2" fontId="74" fillId="0" borderId="52" xfId="0" applyNumberFormat="1" applyFont="1" applyFill="1" applyBorder="1" applyAlignment="1" applyProtection="1">
      <alignment horizontal="center" vertical="center"/>
      <protection locked="0"/>
    </xf>
    <xf numFmtId="2" fontId="74" fillId="0" borderId="55" xfId="0" applyNumberFormat="1" applyFont="1" applyFill="1" applyBorder="1" applyAlignment="1" applyProtection="1">
      <alignment horizontal="center" vertical="center"/>
      <protection locked="0"/>
    </xf>
    <xf numFmtId="2" fontId="74" fillId="0" borderId="48" xfId="0" applyNumberFormat="1" applyFont="1" applyFill="1" applyBorder="1" applyAlignment="1" applyProtection="1">
      <alignment horizontal="center" vertical="center"/>
      <protection locked="0"/>
    </xf>
    <xf numFmtId="2" fontId="74" fillId="0" borderId="69" xfId="0" applyNumberFormat="1" applyFont="1" applyFill="1" applyBorder="1" applyAlignment="1" applyProtection="1">
      <alignment horizontal="center" vertical="center"/>
      <protection locked="0"/>
    </xf>
    <xf numFmtId="2" fontId="74" fillId="0" borderId="56" xfId="0" applyNumberFormat="1" applyFont="1" applyFill="1" applyBorder="1" applyAlignment="1" applyProtection="1">
      <alignment horizontal="center" vertical="center"/>
      <protection locked="0"/>
    </xf>
    <xf numFmtId="2" fontId="74" fillId="0" borderId="50" xfId="0" applyNumberFormat="1" applyFont="1" applyFill="1" applyBorder="1" applyAlignment="1" applyProtection="1">
      <alignment horizontal="center" vertical="center"/>
      <protection locked="0"/>
    </xf>
    <xf numFmtId="171" fontId="74" fillId="0" borderId="47" xfId="0" applyNumberFormat="1" applyFont="1" applyFill="1" applyBorder="1" applyAlignment="1" applyProtection="1">
      <alignment horizontal="center" vertical="center"/>
      <protection locked="0"/>
    </xf>
    <xf numFmtId="2" fontId="74" fillId="0" borderId="73" xfId="0" applyNumberFormat="1" applyFont="1" applyFill="1" applyBorder="1" applyAlignment="1" applyProtection="1">
      <alignment horizontal="center" vertical="center"/>
      <protection locked="0"/>
    </xf>
    <xf numFmtId="2" fontId="74" fillId="0" borderId="77" xfId="0" applyNumberFormat="1" applyFont="1" applyFill="1" applyBorder="1" applyAlignment="1" applyProtection="1">
      <alignment horizontal="center" vertical="center"/>
      <protection locked="0"/>
    </xf>
    <xf numFmtId="2" fontId="74" fillId="0" borderId="23" xfId="0" applyNumberFormat="1" applyFont="1" applyFill="1" applyBorder="1" applyAlignment="1" applyProtection="1">
      <alignment horizontal="center" vertical="center"/>
      <protection locked="0"/>
    </xf>
    <xf numFmtId="2" fontId="74" fillId="0" borderId="22" xfId="0" applyNumberFormat="1" applyFont="1" applyFill="1" applyBorder="1" applyAlignment="1" applyProtection="1">
      <alignment horizontal="center" vertical="center"/>
      <protection locked="0"/>
    </xf>
    <xf numFmtId="2" fontId="74" fillId="0" borderId="70" xfId="0" applyNumberFormat="1" applyFont="1" applyFill="1" applyBorder="1" applyAlignment="1" applyProtection="1">
      <alignment horizontal="center" vertical="center"/>
      <protection locked="0"/>
    </xf>
    <xf numFmtId="2" fontId="74" fillId="0" borderId="75" xfId="0" applyNumberFormat="1" applyFont="1" applyFill="1" applyBorder="1" applyAlignment="1" applyProtection="1">
      <alignment horizontal="center" vertical="center"/>
      <protection locked="0"/>
    </xf>
    <xf numFmtId="2" fontId="76" fillId="3" borderId="6" xfId="0" applyNumberFormat="1" applyFont="1" applyFill="1" applyBorder="1" applyAlignment="1" applyProtection="1">
      <alignment horizontal="center" vertical="center"/>
      <protection hidden="1"/>
    </xf>
    <xf numFmtId="2" fontId="76" fillId="3" borderId="0" xfId="0" applyNumberFormat="1" applyFont="1" applyFill="1" applyBorder="1" applyAlignment="1" applyProtection="1">
      <alignment horizontal="left"/>
      <protection hidden="1"/>
    </xf>
    <xf numFmtId="2" fontId="76" fillId="26" borderId="4" xfId="0" applyNumberFormat="1" applyFont="1" applyFill="1" applyBorder="1" applyAlignment="1" applyProtection="1">
      <alignment horizontal="center"/>
      <protection hidden="1"/>
    </xf>
    <xf numFmtId="2" fontId="76" fillId="17" borderId="0" xfId="0" applyNumberFormat="1" applyFont="1" applyFill="1" applyBorder="1" applyAlignment="1" applyProtection="1">
      <alignment horizontal="left"/>
      <protection hidden="1"/>
    </xf>
    <xf numFmtId="2" fontId="74" fillId="9" borderId="3" xfId="0" applyNumberFormat="1" applyFont="1" applyFill="1" applyBorder="1" applyAlignment="1" applyProtection="1">
      <alignment horizontal="center"/>
      <protection hidden="1"/>
    </xf>
    <xf numFmtId="2" fontId="74" fillId="3" borderId="3" xfId="0" applyNumberFormat="1" applyFont="1" applyFill="1" applyBorder="1" applyAlignment="1" applyProtection="1">
      <alignment horizontal="center" vertical="center"/>
      <protection hidden="1"/>
    </xf>
    <xf numFmtId="2" fontId="74" fillId="3" borderId="3" xfId="0" applyNumberFormat="1" applyFont="1" applyFill="1" applyBorder="1" applyAlignment="1" applyProtection="1">
      <alignment horizontal="center"/>
      <protection hidden="1"/>
    </xf>
    <xf numFmtId="2" fontId="74" fillId="17" borderId="3" xfId="0" applyNumberFormat="1" applyFont="1" applyFill="1" applyBorder="1" applyAlignment="1" applyProtection="1">
      <alignment horizontal="center"/>
      <protection hidden="1"/>
    </xf>
    <xf numFmtId="2" fontId="74" fillId="39" borderId="3" xfId="0" applyNumberFormat="1" applyFont="1" applyFill="1" applyBorder="1" applyAlignment="1" applyProtection="1">
      <alignment horizontal="center"/>
      <protection hidden="1"/>
    </xf>
    <xf numFmtId="2" fontId="78" fillId="40" borderId="3" xfId="0" applyNumberFormat="1" applyFont="1" applyFill="1" applyBorder="1" applyAlignment="1" applyProtection="1">
      <alignment horizontal="center"/>
      <protection hidden="1"/>
    </xf>
    <xf numFmtId="1" fontId="76" fillId="25" borderId="0" xfId="0" applyNumberFormat="1" applyFont="1" applyFill="1" applyBorder="1" applyAlignment="1" applyProtection="1">
      <alignment horizontal="center"/>
      <protection hidden="1"/>
    </xf>
    <xf numFmtId="2" fontId="76" fillId="23" borderId="0" xfId="0" applyNumberFormat="1" applyFont="1" applyFill="1" applyBorder="1" applyAlignment="1" applyProtection="1">
      <alignment horizontal="center"/>
      <protection hidden="1"/>
    </xf>
    <xf numFmtId="1" fontId="76" fillId="3" borderId="0" xfId="0" applyNumberFormat="1" applyFont="1" applyFill="1" applyBorder="1" applyAlignment="1" applyProtection="1">
      <alignment horizontal="center"/>
      <protection hidden="1"/>
    </xf>
    <xf numFmtId="2" fontId="74" fillId="12" borderId="3" xfId="0" applyNumberFormat="1" applyFont="1" applyFill="1" applyBorder="1" applyAlignment="1" applyProtection="1">
      <alignment horizontal="center"/>
      <protection hidden="1"/>
    </xf>
    <xf numFmtId="1" fontId="76" fillId="36" borderId="0" xfId="0" applyNumberFormat="1" applyFont="1" applyFill="1" applyBorder="1" applyAlignment="1" applyProtection="1">
      <alignment horizontal="center"/>
      <protection hidden="1"/>
    </xf>
    <xf numFmtId="2" fontId="74" fillId="26" borderId="3" xfId="0" applyNumberFormat="1" applyFont="1" applyFill="1" applyBorder="1" applyAlignment="1" applyProtection="1">
      <alignment horizontal="center"/>
      <protection hidden="1"/>
    </xf>
    <xf numFmtId="2" fontId="74" fillId="37" borderId="3" xfId="0" applyNumberFormat="1" applyFont="1" applyFill="1" applyBorder="1" applyAlignment="1" applyProtection="1">
      <alignment horizontal="center"/>
      <protection hidden="1"/>
    </xf>
    <xf numFmtId="2" fontId="74" fillId="38" borderId="3" xfId="0" applyNumberFormat="1" applyFont="1" applyFill="1" applyBorder="1" applyAlignment="1" applyProtection="1">
      <alignment horizontal="center"/>
      <protection hidden="1"/>
    </xf>
    <xf numFmtId="2" fontId="79" fillId="12" borderId="32" xfId="0" applyNumberFormat="1" applyFont="1" applyFill="1" applyBorder="1" applyAlignment="1">
      <alignment horizontal="left"/>
    </xf>
    <xf numFmtId="2" fontId="79" fillId="31" borderId="32" xfId="0" applyNumberFormat="1" applyFont="1" applyFill="1" applyBorder="1" applyAlignment="1">
      <alignment horizontal="left"/>
    </xf>
    <xf numFmtId="2" fontId="79" fillId="26" borderId="32" xfId="0" applyNumberFormat="1" applyFont="1" applyFill="1" applyBorder="1" applyAlignment="1">
      <alignment horizontal="left"/>
    </xf>
    <xf numFmtId="2" fontId="79" fillId="28" borderId="32" xfId="0" applyNumberFormat="1" applyFont="1" applyFill="1" applyBorder="1" applyAlignment="1">
      <alignment horizontal="left"/>
    </xf>
    <xf numFmtId="2" fontId="79" fillId="28" borderId="57" xfId="0" applyNumberFormat="1" applyFont="1" applyFill="1" applyBorder="1" applyAlignment="1">
      <alignment horizontal="left"/>
    </xf>
    <xf numFmtId="2" fontId="79" fillId="28" borderId="49" xfId="0" applyNumberFormat="1" applyFont="1" applyFill="1" applyBorder="1" applyAlignment="1">
      <alignment horizontal="left"/>
    </xf>
    <xf numFmtId="2" fontId="79" fillId="27" borderId="49" xfId="0" applyNumberFormat="1" applyFont="1" applyFill="1" applyBorder="1" applyAlignment="1">
      <alignment horizontal="left"/>
    </xf>
    <xf numFmtId="2" fontId="79" fillId="26" borderId="49" xfId="0" applyNumberFormat="1" applyFont="1" applyFill="1" applyBorder="1" applyAlignment="1">
      <alignment horizontal="left"/>
    </xf>
    <xf numFmtId="2" fontId="79" fillId="12" borderId="49" xfId="0" applyNumberFormat="1" applyFont="1" applyFill="1" applyBorder="1" applyAlignment="1">
      <alignment horizontal="left"/>
    </xf>
    <xf numFmtId="0" fontId="79" fillId="34" borderId="1" xfId="2" applyFont="1" applyFill="1" applyBorder="1" applyAlignment="1">
      <alignment vertical="center"/>
    </xf>
    <xf numFmtId="2" fontId="79" fillId="29" borderId="0" xfId="0" applyNumberFormat="1" applyFont="1" applyFill="1" applyBorder="1" applyAlignment="1">
      <alignment horizontal="left"/>
    </xf>
    <xf numFmtId="2" fontId="67" fillId="12" borderId="32" xfId="0" applyNumberFormat="1" applyFont="1" applyFill="1" applyBorder="1" applyAlignment="1">
      <alignment horizontal="left"/>
    </xf>
    <xf numFmtId="2" fontId="73" fillId="26" borderId="32" xfId="0" applyNumberFormat="1" applyFont="1" applyFill="1" applyBorder="1" applyAlignment="1">
      <alignment horizontal="left"/>
    </xf>
    <xf numFmtId="2" fontId="67" fillId="26" borderId="32" xfId="0" applyNumberFormat="1" applyFont="1" applyFill="1" applyBorder="1" applyAlignment="1">
      <alignment horizontal="left"/>
    </xf>
    <xf numFmtId="2" fontId="67" fillId="26" borderId="76" xfId="0" applyNumberFormat="1" applyFont="1" applyFill="1" applyBorder="1" applyAlignment="1">
      <alignment horizontal="left"/>
    </xf>
    <xf numFmtId="2" fontId="79" fillId="12" borderId="16" xfId="0" applyNumberFormat="1" applyFont="1" applyFill="1" applyBorder="1" applyAlignment="1">
      <alignment horizontal="left"/>
    </xf>
    <xf numFmtId="2" fontId="79" fillId="42" borderId="16" xfId="0" applyNumberFormat="1" applyFont="1" applyFill="1" applyBorder="1" applyAlignment="1">
      <alignment horizontal="left"/>
    </xf>
    <xf numFmtId="2" fontId="79" fillId="26" borderId="16" xfId="0" applyNumberFormat="1" applyFont="1" applyFill="1" applyBorder="1" applyAlignment="1">
      <alignment horizontal="left"/>
    </xf>
    <xf numFmtId="2" fontId="79" fillId="38" borderId="16" xfId="0" applyNumberFormat="1" applyFont="1" applyFill="1" applyBorder="1" applyAlignment="1">
      <alignment horizontal="left"/>
    </xf>
    <xf numFmtId="2" fontId="79" fillId="12" borderId="24" xfId="0" applyNumberFormat="1" applyFont="1" applyFill="1" applyBorder="1" applyAlignment="1">
      <alignment horizontal="left"/>
    </xf>
    <xf numFmtId="2" fontId="79" fillId="26" borderId="74" xfId="0" applyNumberFormat="1" applyFont="1" applyFill="1" applyBorder="1" applyAlignment="1">
      <alignment horizontal="left"/>
    </xf>
    <xf numFmtId="0" fontId="30" fillId="18" borderId="35" xfId="0" applyFont="1" applyFill="1" applyBorder="1" applyAlignment="1" applyProtection="1">
      <alignment vertical="center" wrapText="1"/>
    </xf>
    <xf numFmtId="0" fontId="30" fillId="18" borderId="36" xfId="0" applyFont="1" applyFill="1" applyBorder="1" applyAlignment="1" applyProtection="1">
      <alignment vertical="center" wrapText="1"/>
    </xf>
    <xf numFmtId="0" fontId="16" fillId="8" borderId="0" xfId="0" applyFont="1" applyFill="1" applyBorder="1" applyAlignment="1">
      <alignment vertical="center"/>
    </xf>
    <xf numFmtId="0" fontId="0" fillId="52" borderId="72" xfId="0" applyFill="1" applyBorder="1" applyAlignment="1"/>
    <xf numFmtId="0" fontId="0" fillId="53" borderId="88" xfId="0" applyFill="1" applyBorder="1" applyAlignment="1">
      <alignment horizontal="center"/>
    </xf>
    <xf numFmtId="0" fontId="0" fillId="54" borderId="0" xfId="0" applyFill="1"/>
    <xf numFmtId="0" fontId="0" fillId="54" borderId="0" xfId="0" applyFill="1" applyAlignment="1">
      <alignment horizontal="center" vertical="center"/>
    </xf>
    <xf numFmtId="0" fontId="0" fillId="54" borderId="0" xfId="0" applyFill="1" applyAlignment="1">
      <alignment horizontal="center"/>
    </xf>
    <xf numFmtId="0" fontId="0" fillId="55" borderId="0" xfId="0" applyFill="1"/>
    <xf numFmtId="2" fontId="79" fillId="39" borderId="0" xfId="0" applyNumberFormat="1" applyFont="1" applyFill="1" applyBorder="1" applyAlignment="1">
      <alignment horizontal="left"/>
    </xf>
    <xf numFmtId="0" fontId="0" fillId="39" borderId="0" xfId="0" applyFill="1"/>
    <xf numFmtId="0" fontId="0" fillId="17" borderId="0" xfId="0" applyFill="1"/>
    <xf numFmtId="0" fontId="0" fillId="56" borderId="0" xfId="0" applyFill="1"/>
    <xf numFmtId="0" fontId="0" fillId="47" borderId="0" xfId="0" applyFill="1"/>
    <xf numFmtId="0" fontId="0" fillId="57" borderId="0" xfId="0" applyFill="1"/>
    <xf numFmtId="0" fontId="8" fillId="0" borderId="4" xfId="0" applyFont="1" applyBorder="1" applyAlignment="1">
      <alignment vertical="center" wrapText="1"/>
    </xf>
    <xf numFmtId="0" fontId="8" fillId="0" borderId="12" xfId="0" applyFont="1" applyBorder="1" applyAlignment="1">
      <alignment horizontal="center" vertical="center" wrapText="1"/>
    </xf>
    <xf numFmtId="0" fontId="39" fillId="6" borderId="4" xfId="0" applyFont="1" applyFill="1" applyBorder="1" applyAlignment="1" applyProtection="1">
      <alignment horizontal="center" vertical="center"/>
    </xf>
    <xf numFmtId="0" fontId="39" fillId="0" borderId="4" xfId="0" applyFont="1" applyFill="1" applyBorder="1" applyAlignment="1" applyProtection="1">
      <alignment horizontal="center" vertical="center"/>
    </xf>
    <xf numFmtId="2" fontId="39" fillId="2" borderId="4" xfId="0" applyNumberFormat="1" applyFont="1" applyFill="1" applyBorder="1" applyAlignment="1" applyProtection="1">
      <alignment horizontal="center" vertical="center"/>
    </xf>
    <xf numFmtId="0" fontId="23" fillId="0" borderId="4" xfId="2" applyFont="1" applyBorder="1"/>
    <xf numFmtId="2" fontId="67" fillId="3" borderId="0" xfId="0" applyNumberFormat="1" applyFont="1" applyFill="1" applyBorder="1" applyAlignment="1">
      <alignment horizontal="left"/>
    </xf>
    <xf numFmtId="2" fontId="101" fillId="24" borderId="0" xfId="0" applyNumberFormat="1" applyFont="1" applyFill="1" applyBorder="1" applyAlignment="1">
      <alignment horizontal="center"/>
    </xf>
    <xf numFmtId="2" fontId="102" fillId="50" borderId="0" xfId="0" applyNumberFormat="1" applyFont="1" applyFill="1" applyBorder="1" applyAlignment="1">
      <alignment horizontal="center"/>
    </xf>
    <xf numFmtId="2" fontId="103" fillId="47" borderId="0" xfId="0" applyNumberFormat="1" applyFont="1" applyFill="1" applyBorder="1" applyAlignment="1">
      <alignment horizontal="center"/>
    </xf>
    <xf numFmtId="0" fontId="104" fillId="49" borderId="44" xfId="0" applyFont="1" applyFill="1" applyBorder="1" applyAlignment="1" applyProtection="1">
      <alignment horizontal="center" vertical="center" wrapText="1"/>
    </xf>
    <xf numFmtId="2" fontId="102" fillId="24" borderId="0" xfId="0" applyNumberFormat="1" applyFont="1" applyFill="1" applyBorder="1" applyAlignment="1">
      <alignment horizontal="center"/>
    </xf>
    <xf numFmtId="2" fontId="105" fillId="32" borderId="51" xfId="0" applyNumberFormat="1" applyFont="1" applyFill="1" applyBorder="1" applyAlignment="1">
      <alignment horizontal="center" vertical="center"/>
    </xf>
    <xf numFmtId="2" fontId="106" fillId="0" borderId="0" xfId="0" applyNumberFormat="1" applyFont="1" applyFill="1" applyBorder="1" applyAlignment="1" applyProtection="1">
      <alignment horizontal="center"/>
      <protection locked="0"/>
    </xf>
    <xf numFmtId="0" fontId="74" fillId="0" borderId="44" xfId="0" applyFont="1" applyFill="1" applyBorder="1" applyAlignment="1" applyProtection="1">
      <alignment horizontal="center" vertical="center" wrapText="1"/>
      <protection locked="0"/>
    </xf>
    <xf numFmtId="0" fontId="100" fillId="17" borderId="44" xfId="0" applyFont="1" applyFill="1" applyBorder="1" applyAlignment="1" applyProtection="1">
      <alignment vertical="center" wrapText="1"/>
    </xf>
    <xf numFmtId="2" fontId="101" fillId="7" borderId="0" xfId="0" applyNumberFormat="1" applyFont="1" applyFill="1" applyBorder="1" applyAlignment="1">
      <alignment horizontal="center"/>
    </xf>
    <xf numFmtId="2" fontId="106" fillId="0" borderId="56" xfId="0" applyNumberFormat="1" applyFont="1" applyFill="1" applyBorder="1" applyAlignment="1" applyProtection="1">
      <alignment horizontal="center" vertical="center"/>
      <protection locked="0"/>
    </xf>
    <xf numFmtId="1" fontId="76" fillId="23" borderId="0" xfId="0" applyNumberFormat="1" applyFont="1" applyFill="1" applyBorder="1" applyAlignment="1" applyProtection="1">
      <alignment horizontal="center" vertical="center"/>
      <protection hidden="1"/>
    </xf>
    <xf numFmtId="1" fontId="76" fillId="36" borderId="0" xfId="0" applyNumberFormat="1" applyFont="1" applyFill="1" applyBorder="1" applyAlignment="1" applyProtection="1">
      <alignment horizontal="center" vertical="center"/>
      <protection hidden="1"/>
    </xf>
    <xf numFmtId="2" fontId="102" fillId="24" borderId="0" xfId="0" applyNumberFormat="1" applyFont="1" applyFill="1" applyBorder="1" applyAlignment="1" applyProtection="1">
      <alignment horizontal="center"/>
      <protection hidden="1"/>
    </xf>
    <xf numFmtId="0" fontId="47" fillId="0" borderId="4" xfId="2" applyFont="1" applyBorder="1" applyAlignment="1">
      <alignment horizontal="center" vertical="center"/>
    </xf>
    <xf numFmtId="2" fontId="0" fillId="0" borderId="0" xfId="0" applyNumberFormat="1"/>
    <xf numFmtId="0" fontId="110" fillId="0" borderId="4" xfId="0" applyFont="1" applyBorder="1" applyProtection="1">
      <protection locked="0"/>
    </xf>
    <xf numFmtId="0" fontId="0" fillId="0" borderId="9" xfId="0" applyBorder="1"/>
    <xf numFmtId="0" fontId="0" fillId="0" borderId="0" xfId="0" applyBorder="1"/>
    <xf numFmtId="0" fontId="0" fillId="0" borderId="17" xfId="0" applyBorder="1"/>
    <xf numFmtId="14" fontId="0" fillId="0" borderId="17" xfId="0" applyNumberFormat="1" applyBorder="1" applyAlignment="1">
      <alignment horizontal="center"/>
    </xf>
    <xf numFmtId="0" fontId="0" fillId="0" borderId="9" xfId="0" applyBorder="1" applyAlignment="1">
      <alignment vertical="center"/>
    </xf>
    <xf numFmtId="0" fontId="0" fillId="0" borderId="0" xfId="0" applyBorder="1" applyAlignment="1">
      <alignment vertical="center"/>
    </xf>
    <xf numFmtId="0" fontId="0" fillId="0" borderId="17" xfId="0" applyBorder="1" applyAlignment="1">
      <alignment vertical="center"/>
    </xf>
    <xf numFmtId="2" fontId="0" fillId="0" borderId="0" xfId="0" applyNumberFormat="1" applyBorder="1" applyAlignment="1">
      <alignment vertical="center"/>
    </xf>
    <xf numFmtId="2" fontId="0" fillId="0" borderId="17" xfId="0" applyNumberFormat="1" applyBorder="1" applyAlignment="1">
      <alignment vertical="center"/>
    </xf>
    <xf numFmtId="0" fontId="111" fillId="0" borderId="0" xfId="0" applyFont="1" applyBorder="1" applyAlignment="1">
      <alignment horizontal="center"/>
    </xf>
    <xf numFmtId="0" fontId="0" fillId="0" borderId="13" xfId="0" applyBorder="1"/>
    <xf numFmtId="0" fontId="0" fillId="0" borderId="14" xfId="0" applyBorder="1"/>
    <xf numFmtId="0" fontId="0" fillId="0" borderId="11" xfId="0" applyBorder="1"/>
    <xf numFmtId="2" fontId="115" fillId="0" borderId="0" xfId="0" applyNumberFormat="1" applyFont="1" applyBorder="1" applyAlignment="1">
      <alignment vertical="center"/>
    </xf>
    <xf numFmtId="2" fontId="38" fillId="0" borderId="4" xfId="2" applyNumberFormat="1" applyFont="1" applyBorder="1" applyAlignment="1">
      <alignment horizontal="center" vertical="center" wrapText="1"/>
    </xf>
    <xf numFmtId="9" fontId="10" fillId="2" borderId="8" xfId="0" applyNumberFormat="1" applyFont="1" applyFill="1" applyBorder="1" applyAlignment="1" applyProtection="1">
      <alignment horizontal="center" vertical="center" wrapText="1"/>
      <protection locked="0"/>
    </xf>
    <xf numFmtId="0" fontId="69" fillId="34" borderId="0" xfId="0" applyFont="1" applyFill="1" applyAlignment="1">
      <alignment vertical="center"/>
    </xf>
    <xf numFmtId="0" fontId="69" fillId="34" borderId="89" xfId="0" applyFont="1" applyFill="1" applyBorder="1" applyAlignment="1">
      <alignment vertical="center"/>
    </xf>
    <xf numFmtId="1" fontId="38" fillId="0" borderId="4" xfId="2" applyNumberFormat="1" applyFont="1" applyBorder="1" applyAlignment="1">
      <alignment horizontal="center" vertical="center" wrapText="1"/>
    </xf>
    <xf numFmtId="0" fontId="47" fillId="0" borderId="1" xfId="2" applyFont="1" applyBorder="1" applyAlignment="1">
      <alignment horizontal="center" vertical="center" wrapText="1"/>
    </xf>
    <xf numFmtId="0" fontId="47" fillId="0" borderId="4" xfId="2" applyFont="1" applyBorder="1" applyAlignment="1">
      <alignment horizontal="center" vertical="center" wrapText="1"/>
    </xf>
    <xf numFmtId="0" fontId="18" fillId="0" borderId="0" xfId="0" applyFont="1"/>
    <xf numFmtId="1" fontId="74" fillId="0" borderId="47" xfId="0" applyNumberFormat="1" applyFont="1" applyFill="1" applyBorder="1" applyAlignment="1" applyProtection="1">
      <alignment horizontal="center" vertical="center"/>
      <protection locked="0"/>
    </xf>
    <xf numFmtId="2" fontId="48" fillId="0" borderId="4" xfId="2" applyNumberFormat="1" applyFont="1" applyBorder="1" applyAlignment="1" applyProtection="1">
      <alignment horizontal="center" vertical="center" wrapText="1"/>
    </xf>
    <xf numFmtId="0" fontId="39" fillId="0" borderId="4" xfId="0" applyFont="1" applyFill="1" applyBorder="1" applyAlignment="1" applyProtection="1">
      <alignment horizontal="center" vertical="center"/>
      <protection locked="0" hidden="1"/>
    </xf>
    <xf numFmtId="0" fontId="74" fillId="0" borderId="93" xfId="0" applyNumberFormat="1" applyFont="1" applyFill="1" applyBorder="1" applyAlignment="1" applyProtection="1">
      <alignment horizontal="center" vertical="center"/>
      <protection locked="0"/>
    </xf>
    <xf numFmtId="2" fontId="106" fillId="0" borderId="94" xfId="0" applyNumberFormat="1" applyFont="1" applyFill="1" applyBorder="1" applyAlignment="1" applyProtection="1">
      <alignment horizontal="center" vertical="center"/>
      <protection locked="0"/>
    </xf>
    <xf numFmtId="2" fontId="74" fillId="0" borderId="9" xfId="0" applyNumberFormat="1" applyFont="1" applyFill="1" applyBorder="1" applyAlignment="1" applyProtection="1">
      <alignment horizontal="center" vertical="center"/>
      <protection locked="0"/>
    </xf>
    <xf numFmtId="2" fontId="73" fillId="26" borderId="0" xfId="0" applyNumberFormat="1" applyFont="1" applyFill="1" applyBorder="1" applyAlignment="1">
      <alignment horizontal="left"/>
    </xf>
    <xf numFmtId="165" fontId="116" fillId="0" borderId="22" xfId="2" applyNumberFormat="1" applyFont="1" applyBorder="1" applyAlignment="1">
      <alignment vertical="center"/>
    </xf>
    <xf numFmtId="2" fontId="117" fillId="0" borderId="4" xfId="2" applyNumberFormat="1" applyFont="1" applyBorder="1" applyAlignment="1">
      <alignment horizontal="center" vertical="center"/>
    </xf>
    <xf numFmtId="1" fontId="36" fillId="22" borderId="97" xfId="0" applyNumberFormat="1" applyFont="1" applyFill="1" applyBorder="1" applyAlignment="1" applyProtection="1">
      <alignment horizontal="center" vertical="center" wrapText="1"/>
      <protection hidden="1"/>
    </xf>
    <xf numFmtId="17" fontId="59" fillId="0" borderId="4" xfId="0" applyNumberFormat="1" applyFont="1" applyBorder="1" applyAlignment="1" applyProtection="1">
      <alignment horizontal="center" vertical="center"/>
      <protection locked="0"/>
    </xf>
    <xf numFmtId="0" fontId="10" fillId="2" borderId="103" xfId="0" applyFont="1" applyFill="1" applyBorder="1" applyAlignment="1">
      <alignment horizontal="center" vertical="center" wrapText="1"/>
    </xf>
    <xf numFmtId="0" fontId="39" fillId="2" borderId="101" xfId="0" applyFont="1" applyFill="1" applyBorder="1" applyAlignment="1" applyProtection="1">
      <alignment horizontal="center" vertical="center"/>
      <protection locked="0" hidden="1"/>
    </xf>
    <xf numFmtId="0" fontId="39" fillId="0" borderId="4" xfId="0" applyNumberFormat="1" applyFont="1" applyBorder="1" applyAlignment="1" applyProtection="1">
      <alignment horizontal="center" vertical="center"/>
      <protection locked="0" hidden="1"/>
    </xf>
    <xf numFmtId="1" fontId="39" fillId="2" borderId="4" xfId="0" applyNumberFormat="1" applyFont="1" applyFill="1" applyBorder="1" applyAlignment="1" applyProtection="1">
      <alignment horizontal="center" vertical="center"/>
      <protection locked="0" hidden="1"/>
    </xf>
    <xf numFmtId="2" fontId="74" fillId="21" borderId="103" xfId="0" applyNumberFormat="1" applyFont="1" applyFill="1" applyBorder="1" applyAlignment="1" applyProtection="1">
      <alignment horizontal="center"/>
      <protection hidden="1"/>
    </xf>
    <xf numFmtId="2" fontId="79" fillId="34" borderId="32" xfId="0" applyNumberFormat="1" applyFont="1" applyFill="1" applyBorder="1" applyAlignment="1">
      <alignment horizontal="left"/>
    </xf>
    <xf numFmtId="2" fontId="20" fillId="0" borderId="5" xfId="0" applyNumberFormat="1" applyFont="1" applyBorder="1" applyAlignment="1">
      <alignment horizontal="right" vertical="center" wrapText="1"/>
    </xf>
    <xf numFmtId="168" fontId="52" fillId="16" borderId="30" xfId="0" applyNumberFormat="1" applyFont="1" applyFill="1" applyBorder="1" applyAlignment="1" applyProtection="1">
      <alignment horizontal="center" vertical="center" wrapText="1"/>
    </xf>
    <xf numFmtId="2" fontId="67" fillId="42" borderId="32" xfId="0" applyNumberFormat="1" applyFont="1" applyFill="1" applyBorder="1" applyAlignment="1">
      <alignment horizontal="left"/>
    </xf>
    <xf numFmtId="2" fontId="172" fillId="42" borderId="32" xfId="0" applyNumberFormat="1" applyFont="1" applyFill="1" applyBorder="1" applyAlignment="1">
      <alignment horizontal="left"/>
    </xf>
    <xf numFmtId="2" fontId="67" fillId="26" borderId="32" xfId="0" applyNumberFormat="1" applyFont="1" applyFill="1" applyBorder="1" applyAlignment="1">
      <alignment horizontal="left" vertical="center"/>
    </xf>
    <xf numFmtId="0" fontId="0" fillId="0" borderId="4" xfId="0" applyFont="1" applyBorder="1" applyAlignment="1">
      <alignment horizontal="center"/>
    </xf>
    <xf numFmtId="0" fontId="39" fillId="0" borderId="19" xfId="2" applyFont="1" applyBorder="1" applyAlignment="1">
      <alignment horizontal="center" vertical="center"/>
    </xf>
    <xf numFmtId="0" fontId="71" fillId="70" borderId="5" xfId="0" applyFont="1" applyFill="1" applyBorder="1" applyAlignment="1">
      <alignment horizontal="center" vertical="center"/>
    </xf>
    <xf numFmtId="0" fontId="73" fillId="71" borderId="58" xfId="0" applyFont="1" applyFill="1" applyBorder="1" applyAlignment="1">
      <alignment horizontal="center" vertical="center"/>
    </xf>
    <xf numFmtId="2" fontId="105" fillId="51" borderId="32" xfId="0" applyNumberFormat="1" applyFont="1" applyFill="1" applyBorder="1" applyAlignment="1">
      <alignment horizontal="center" vertical="center"/>
    </xf>
    <xf numFmtId="0" fontId="177" fillId="0" borderId="117" xfId="0" applyFont="1" applyFill="1" applyBorder="1" applyAlignment="1" applyProtection="1">
      <alignment horizontal="center" vertical="center"/>
      <protection locked="0"/>
    </xf>
    <xf numFmtId="0" fontId="115" fillId="0" borderId="0" xfId="0" applyFont="1" applyAlignment="1">
      <alignment vertical="center"/>
    </xf>
    <xf numFmtId="0" fontId="177" fillId="0" borderId="0" xfId="0" applyFont="1" applyFill="1" applyBorder="1" applyAlignment="1" applyProtection="1">
      <alignment horizontal="center" vertical="center"/>
      <protection locked="0"/>
    </xf>
    <xf numFmtId="0" fontId="115" fillId="0" borderId="127" xfId="0" applyFont="1" applyBorder="1" applyAlignment="1">
      <alignment vertical="center"/>
    </xf>
    <xf numFmtId="0" fontId="177" fillId="0" borderId="0" xfId="0" applyFont="1" applyBorder="1" applyAlignment="1" applyProtection="1">
      <alignment horizontal="center" vertical="center"/>
      <protection locked="0"/>
    </xf>
    <xf numFmtId="0" fontId="179" fillId="0" borderId="0" xfId="0" applyFont="1" applyBorder="1" applyAlignment="1">
      <alignment horizontal="center" vertical="center"/>
    </xf>
    <xf numFmtId="0" fontId="115" fillId="0" borderId="0" xfId="0" applyFont="1" applyBorder="1" applyAlignment="1">
      <alignment vertical="center"/>
    </xf>
    <xf numFmtId="0" fontId="115" fillId="0" borderId="139" xfId="0" applyFont="1" applyBorder="1" applyAlignment="1">
      <alignment vertical="center"/>
    </xf>
    <xf numFmtId="0" fontId="115" fillId="0" borderId="0" xfId="0" applyFont="1"/>
    <xf numFmtId="0" fontId="115" fillId="0" borderId="0" xfId="0" applyFont="1" applyBorder="1"/>
    <xf numFmtId="0" fontId="181" fillId="0" borderId="0" xfId="0" applyFont="1" applyAlignment="1">
      <alignment vertical="center"/>
    </xf>
    <xf numFmtId="0" fontId="115" fillId="0" borderId="0" xfId="0" applyFont="1" applyAlignment="1"/>
    <xf numFmtId="0" fontId="178" fillId="0" borderId="0" xfId="0" applyFont="1" applyBorder="1" applyAlignment="1">
      <alignment horizontal="left" vertical="center" wrapText="1"/>
    </xf>
    <xf numFmtId="0" fontId="115" fillId="0" borderId="0" xfId="0" applyFont="1" applyBorder="1" applyAlignment="1">
      <alignment horizontal="center"/>
    </xf>
    <xf numFmtId="0" fontId="186" fillId="0" borderId="0" xfId="0" applyFont="1" applyAlignment="1">
      <alignment horizontal="center" vertical="center"/>
    </xf>
    <xf numFmtId="0" fontId="188" fillId="0" borderId="143" xfId="0" applyFont="1" applyBorder="1" applyAlignment="1">
      <alignment horizontal="center" vertical="center"/>
    </xf>
    <xf numFmtId="0" fontId="188" fillId="0" borderId="101" xfId="0" applyFont="1" applyBorder="1" applyAlignment="1">
      <alignment horizontal="center" vertical="center"/>
    </xf>
    <xf numFmtId="0" fontId="186" fillId="0" borderId="0" xfId="0" applyFont="1" applyBorder="1" applyAlignment="1">
      <alignment horizontal="center" vertical="center"/>
    </xf>
    <xf numFmtId="0" fontId="186" fillId="0" borderId="26" xfId="0" applyFont="1" applyBorder="1" applyAlignment="1">
      <alignment horizontal="center" vertical="center"/>
    </xf>
    <xf numFmtId="49" fontId="190" fillId="0" borderId="143" xfId="0" applyNumberFormat="1" applyFont="1" applyBorder="1" applyAlignment="1">
      <alignment horizontal="center" vertical="center"/>
    </xf>
    <xf numFmtId="0" fontId="191" fillId="12" borderId="101" xfId="0" applyFont="1" applyFill="1" applyBorder="1" applyAlignment="1" applyProtection="1">
      <alignment horizontal="center" vertical="center"/>
      <protection locked="0"/>
    </xf>
    <xf numFmtId="0" fontId="196" fillId="0" borderId="144" xfId="0" applyFont="1" applyBorder="1" applyAlignment="1">
      <alignment horizontal="center" vertical="center"/>
    </xf>
    <xf numFmtId="0" fontId="194" fillId="0" borderId="147" xfId="0" applyFont="1" applyBorder="1" applyAlignment="1">
      <alignment horizontal="center" vertical="center"/>
    </xf>
    <xf numFmtId="49" fontId="190" fillId="0" borderId="145" xfId="0" applyNumberFormat="1" applyFont="1" applyBorder="1" applyAlignment="1">
      <alignment horizontal="center" vertical="center"/>
    </xf>
    <xf numFmtId="1" fontId="1" fillId="0" borderId="0" xfId="0" applyNumberFormat="1" applyFont="1"/>
    <xf numFmtId="1" fontId="40" fillId="2" borderId="103" xfId="5" applyNumberFormat="1" applyFont="1" applyFill="1" applyBorder="1" applyAlignment="1" applyProtection="1">
      <alignment vertical="top"/>
    </xf>
    <xf numFmtId="1" fontId="115" fillId="0" borderId="0" xfId="0" applyNumberFormat="1" applyFont="1"/>
    <xf numFmtId="0" fontId="200" fillId="47" borderId="152" xfId="2" applyFont="1" applyFill="1" applyBorder="1"/>
    <xf numFmtId="0" fontId="201" fillId="47" borderId="0" xfId="2" applyFont="1" applyFill="1"/>
    <xf numFmtId="0" fontId="33" fillId="47" borderId="0" xfId="2" applyFill="1"/>
    <xf numFmtId="0" fontId="33" fillId="0" borderId="0" xfId="2"/>
    <xf numFmtId="0" fontId="200" fillId="47" borderId="0" xfId="2" applyFont="1" applyFill="1" applyBorder="1"/>
    <xf numFmtId="0" fontId="200" fillId="47" borderId="0" xfId="2" applyFont="1" applyFill="1" applyBorder="1" applyProtection="1">
      <protection locked="0"/>
    </xf>
    <xf numFmtId="0" fontId="128" fillId="0" borderId="99" xfId="2" applyFont="1" applyBorder="1" applyAlignment="1">
      <alignment horizontal="left"/>
    </xf>
    <xf numFmtId="0" fontId="129" fillId="0" borderId="153" xfId="2" applyFont="1" applyBorder="1" applyAlignment="1">
      <alignment horizontal="left" vertical="center"/>
    </xf>
    <xf numFmtId="0" fontId="40" fillId="0" borderId="0" xfId="2" applyFont="1" applyBorder="1" applyAlignment="1">
      <alignment horizontal="center"/>
    </xf>
    <xf numFmtId="0" fontId="131" fillId="0" borderId="0" xfId="6" applyFont="1" applyAlignment="1" applyProtection="1">
      <protection hidden="1"/>
    </xf>
    <xf numFmtId="0" fontId="131" fillId="0" borderId="0" xfId="6" applyFont="1" applyBorder="1" applyAlignment="1" applyProtection="1">
      <alignment vertical="center"/>
    </xf>
    <xf numFmtId="0" fontId="202" fillId="47" borderId="0" xfId="2" applyFont="1" applyFill="1"/>
    <xf numFmtId="0" fontId="202" fillId="0" borderId="0" xfId="2" applyFont="1"/>
    <xf numFmtId="0" fontId="132" fillId="0" borderId="0" xfId="2" applyFont="1"/>
    <xf numFmtId="0" fontId="203" fillId="47" borderId="0" xfId="2" applyFont="1" applyFill="1"/>
    <xf numFmtId="0" fontId="203" fillId="0" borderId="0" xfId="2" applyFont="1"/>
    <xf numFmtId="0" fontId="133" fillId="0" borderId="0" xfId="6" applyFont="1" applyBorder="1" applyAlignment="1" applyProtection="1">
      <alignment vertical="center"/>
    </xf>
    <xf numFmtId="0" fontId="128" fillId="0" borderId="0" xfId="2" applyFont="1" applyBorder="1" applyAlignment="1">
      <alignment horizontal="center"/>
    </xf>
    <xf numFmtId="0" fontId="130" fillId="0" borderId="0" xfId="6" applyBorder="1" applyAlignment="1" applyProtection="1">
      <alignment horizontal="left"/>
    </xf>
    <xf numFmtId="0" fontId="128" fillId="0" borderId="154" xfId="2" applyFont="1" applyBorder="1" applyAlignment="1">
      <alignment horizontal="center"/>
    </xf>
    <xf numFmtId="0" fontId="135" fillId="60" borderId="155" xfId="2" applyFont="1" applyFill="1" applyBorder="1" applyAlignment="1" applyProtection="1">
      <alignment horizontal="left"/>
      <protection hidden="1"/>
    </xf>
    <xf numFmtId="0" fontId="128" fillId="0" borderId="156" xfId="2" applyFont="1" applyBorder="1" applyAlignment="1">
      <alignment horizontal="center"/>
    </xf>
    <xf numFmtId="0" fontId="137" fillId="60" borderId="157" xfId="2" applyFont="1" applyFill="1" applyBorder="1" applyAlignment="1" applyProtection="1">
      <alignment horizontal="left"/>
      <protection hidden="1"/>
    </xf>
    <xf numFmtId="0" fontId="32" fillId="60" borderId="157" xfId="2" applyFont="1" applyFill="1" applyBorder="1" applyAlignment="1" applyProtection="1">
      <alignment horizontal="left"/>
      <protection hidden="1"/>
    </xf>
    <xf numFmtId="0" fontId="138" fillId="60" borderId="158" xfId="2" applyFont="1" applyFill="1" applyBorder="1" applyAlignment="1" applyProtection="1">
      <alignment horizontal="left"/>
      <protection hidden="1"/>
    </xf>
    <xf numFmtId="0" fontId="135" fillId="61" borderId="159" xfId="2" applyFont="1" applyFill="1" applyBorder="1" applyAlignment="1" applyProtection="1">
      <alignment horizontal="left"/>
      <protection hidden="1"/>
    </xf>
    <xf numFmtId="0" fontId="137" fillId="61" borderId="157" xfId="2" applyFont="1" applyFill="1" applyBorder="1" applyAlignment="1" applyProtection="1">
      <alignment horizontal="left"/>
      <protection hidden="1"/>
    </xf>
    <xf numFmtId="0" fontId="32" fillId="61" borderId="157" xfId="2" applyFont="1" applyFill="1" applyBorder="1" applyAlignment="1" applyProtection="1">
      <alignment horizontal="left"/>
      <protection hidden="1"/>
    </xf>
    <xf numFmtId="0" fontId="136" fillId="62" borderId="159" xfId="2" applyFont="1" applyFill="1" applyBorder="1" applyAlignment="1" applyProtection="1">
      <alignment horizontal="left" vertical="center"/>
      <protection hidden="1"/>
    </xf>
    <xf numFmtId="0" fontId="137" fillId="62" borderId="157" xfId="2" applyFont="1" applyFill="1" applyBorder="1" applyAlignment="1" applyProtection="1">
      <alignment horizontal="left"/>
      <protection hidden="1"/>
    </xf>
    <xf numFmtId="0" fontId="32" fillId="62" borderId="157" xfId="2" applyFont="1" applyFill="1" applyBorder="1" applyAlignment="1" applyProtection="1">
      <alignment horizontal="left"/>
      <protection hidden="1"/>
    </xf>
    <xf numFmtId="0" fontId="142" fillId="63" borderId="159" xfId="2" applyFont="1" applyFill="1" applyBorder="1" applyAlignment="1" applyProtection="1">
      <alignment horizontal="left" vertical="center"/>
      <protection hidden="1"/>
    </xf>
    <xf numFmtId="0" fontId="137" fillId="63" borderId="157" xfId="2" applyFont="1" applyFill="1" applyBorder="1" applyAlignment="1" applyProtection="1">
      <alignment horizontal="left"/>
      <protection hidden="1"/>
    </xf>
    <xf numFmtId="0" fontId="32" fillId="63" borderId="157" xfId="2" applyFont="1" applyFill="1" applyBorder="1" applyAlignment="1" applyProtection="1">
      <alignment horizontal="left"/>
      <protection hidden="1"/>
    </xf>
    <xf numFmtId="0" fontId="137" fillId="64" borderId="160" xfId="2" applyFont="1" applyFill="1" applyBorder="1" applyAlignment="1" applyProtection="1">
      <alignment horizontal="left" vertical="center" wrapText="1"/>
      <protection hidden="1"/>
    </xf>
    <xf numFmtId="0" fontId="33" fillId="0" borderId="0" xfId="2" applyAlignment="1">
      <alignment horizontal="center"/>
    </xf>
    <xf numFmtId="0" fontId="144" fillId="65" borderId="161" xfId="2" applyFont="1" applyFill="1" applyBorder="1" applyAlignment="1" applyProtection="1">
      <protection hidden="1"/>
    </xf>
    <xf numFmtId="0" fontId="150" fillId="65" borderId="162" xfId="2" applyFont="1" applyFill="1" applyBorder="1" applyAlignment="1" applyProtection="1">
      <alignment horizontal="left" vertical="top" wrapText="1"/>
      <protection hidden="1"/>
    </xf>
    <xf numFmtId="0" fontId="33" fillId="47" borderId="0" xfId="2" applyFill="1" applyAlignment="1">
      <alignment vertical="top"/>
    </xf>
    <xf numFmtId="0" fontId="33" fillId="0" borderId="0" xfId="2" applyAlignment="1">
      <alignment vertical="top"/>
    </xf>
    <xf numFmtId="0" fontId="32" fillId="65" borderId="162" xfId="2" applyFont="1" applyFill="1" applyBorder="1" applyAlignment="1" applyProtection="1">
      <alignment vertical="center" wrapText="1"/>
      <protection hidden="1"/>
    </xf>
    <xf numFmtId="0" fontId="144" fillId="65" borderId="161" xfId="2" applyFont="1" applyFill="1" applyBorder="1" applyProtection="1">
      <protection hidden="1"/>
    </xf>
    <xf numFmtId="0" fontId="32" fillId="65" borderId="163" xfId="2" applyFont="1" applyFill="1" applyBorder="1" applyAlignment="1" applyProtection="1">
      <alignment wrapText="1"/>
      <protection hidden="1"/>
    </xf>
    <xf numFmtId="0" fontId="32" fillId="65" borderId="161" xfId="2" applyFont="1" applyFill="1" applyBorder="1" applyProtection="1">
      <protection hidden="1"/>
    </xf>
    <xf numFmtId="0" fontId="32" fillId="65" borderId="163" xfId="2" applyFont="1" applyFill="1" applyBorder="1" applyProtection="1">
      <protection hidden="1"/>
    </xf>
    <xf numFmtId="0" fontId="155" fillId="65" borderId="0" xfId="2" applyFont="1" applyFill="1" applyBorder="1" applyProtection="1">
      <protection hidden="1"/>
    </xf>
    <xf numFmtId="172" fontId="32" fillId="65" borderId="164" xfId="2" applyNumberFormat="1" applyFont="1" applyFill="1" applyBorder="1" applyAlignment="1" applyProtection="1">
      <alignment vertical="top" wrapText="1"/>
      <protection hidden="1"/>
    </xf>
    <xf numFmtId="172" fontId="32" fillId="66" borderId="165" xfId="2" applyNumberFormat="1" applyFont="1" applyFill="1" applyBorder="1" applyAlignment="1" applyProtection="1">
      <alignment vertical="top" wrapText="1"/>
      <protection hidden="1"/>
    </xf>
    <xf numFmtId="0" fontId="157" fillId="67" borderId="151" xfId="2" applyFont="1" applyFill="1" applyBorder="1" applyAlignment="1" applyProtection="1">
      <alignment horizontal="left" vertical="center" wrapText="1"/>
      <protection hidden="1"/>
    </xf>
    <xf numFmtId="172" fontId="46" fillId="65" borderId="167" xfId="2" applyNumberFormat="1" applyFont="1" applyFill="1" applyBorder="1" applyAlignment="1" applyProtection="1">
      <alignment vertical="center" wrapText="1"/>
      <protection hidden="1"/>
    </xf>
    <xf numFmtId="172" fontId="46" fillId="65" borderId="167" xfId="2" applyNumberFormat="1" applyFont="1" applyFill="1" applyBorder="1" applyAlignment="1" applyProtection="1">
      <alignment vertical="top" wrapText="1"/>
      <protection hidden="1"/>
    </xf>
    <xf numFmtId="172" fontId="164" fillId="65" borderId="167" xfId="2" applyNumberFormat="1" applyFont="1" applyFill="1" applyBorder="1" applyAlignment="1" applyProtection="1">
      <alignment vertical="top" wrapText="1"/>
      <protection hidden="1"/>
    </xf>
    <xf numFmtId="172" fontId="46" fillId="66" borderId="168" xfId="2" applyNumberFormat="1" applyFont="1" applyFill="1" applyBorder="1" applyAlignment="1" applyProtection="1">
      <alignment vertical="top" wrapText="1"/>
      <protection hidden="1"/>
    </xf>
    <xf numFmtId="172" fontId="46" fillId="66" borderId="95" xfId="2" applyNumberFormat="1" applyFont="1" applyFill="1" applyBorder="1" applyAlignment="1" applyProtection="1">
      <alignment vertical="top" wrapText="1"/>
      <protection hidden="1"/>
    </xf>
    <xf numFmtId="172" fontId="46" fillId="66" borderId="169" xfId="2" applyNumberFormat="1" applyFont="1" applyFill="1" applyBorder="1" applyAlignment="1" applyProtection="1">
      <alignment vertical="top" wrapText="1"/>
      <protection hidden="1"/>
    </xf>
    <xf numFmtId="172" fontId="32" fillId="65" borderId="167" xfId="2" applyNumberFormat="1" applyFont="1" applyFill="1" applyBorder="1" applyAlignment="1" applyProtection="1">
      <alignment vertical="top" wrapText="1"/>
      <protection hidden="1"/>
    </xf>
    <xf numFmtId="172" fontId="160" fillId="65" borderId="167" xfId="2" applyNumberFormat="1" applyFont="1" applyFill="1" applyBorder="1" applyAlignment="1" applyProtection="1">
      <alignment vertical="top" wrapText="1"/>
      <protection hidden="1"/>
    </xf>
    <xf numFmtId="172" fontId="162" fillId="65" borderId="167" xfId="2" applyNumberFormat="1" applyFont="1" applyFill="1" applyBorder="1" applyAlignment="1" applyProtection="1">
      <alignment vertical="top" wrapText="1"/>
      <protection hidden="1"/>
    </xf>
    <xf numFmtId="172" fontId="162" fillId="0" borderId="167" xfId="2" applyNumberFormat="1" applyFont="1" applyBorder="1" applyAlignment="1" applyProtection="1">
      <alignment vertical="top" wrapText="1"/>
      <protection hidden="1"/>
    </xf>
    <xf numFmtId="172" fontId="158" fillId="0" borderId="167" xfId="2" applyNumberFormat="1" applyFont="1" applyBorder="1" applyAlignment="1" applyProtection="1">
      <alignment vertical="top" wrapText="1"/>
      <protection hidden="1"/>
    </xf>
    <xf numFmtId="172" fontId="32" fillId="65" borderId="170" xfId="2" applyNumberFormat="1" applyFont="1" applyFill="1" applyBorder="1" applyAlignment="1" applyProtection="1">
      <alignment vertical="top" wrapText="1"/>
      <protection hidden="1"/>
    </xf>
    <xf numFmtId="172" fontId="162" fillId="65" borderId="100" xfId="2" applyNumberFormat="1" applyFont="1" applyFill="1" applyBorder="1" applyAlignment="1" applyProtection="1">
      <alignment vertical="top" wrapText="1"/>
      <protection hidden="1"/>
    </xf>
    <xf numFmtId="0" fontId="165" fillId="65" borderId="99" xfId="2" applyFont="1" applyFill="1" applyBorder="1" applyAlignment="1">
      <alignment vertical="center"/>
    </xf>
    <xf numFmtId="0" fontId="167" fillId="0" borderId="43" xfId="2" applyFont="1" applyBorder="1" applyAlignment="1">
      <alignment horizontal="left" vertical="center"/>
    </xf>
    <xf numFmtId="0" fontId="33" fillId="0" borderId="0" xfId="2" applyAlignment="1">
      <alignment vertical="top" wrapText="1"/>
    </xf>
    <xf numFmtId="0" fontId="33" fillId="0" borderId="43" xfId="2" applyBorder="1" applyAlignment="1">
      <alignment vertical="center" wrapText="1"/>
    </xf>
    <xf numFmtId="0" fontId="33" fillId="0" borderId="46" xfId="2" applyNumberFormat="1" applyBorder="1" applyAlignment="1">
      <alignment vertical="top" wrapText="1"/>
    </xf>
    <xf numFmtId="0" fontId="33" fillId="0" borderId="0" xfId="2" applyAlignment="1">
      <alignment vertical="center" wrapText="1"/>
    </xf>
    <xf numFmtId="0" fontId="33" fillId="0" borderId="43" xfId="2" applyBorder="1" applyAlignment="1">
      <alignment horizontal="left" vertical="top" wrapText="1"/>
    </xf>
    <xf numFmtId="0" fontId="33" fillId="0" borderId="46" xfId="2" applyBorder="1" applyAlignment="1">
      <alignment vertical="center" wrapText="1"/>
    </xf>
    <xf numFmtId="0" fontId="33" fillId="0" borderId="96" xfId="2" applyBorder="1" applyAlignment="1">
      <alignment vertical="top" wrapText="1"/>
    </xf>
    <xf numFmtId="0" fontId="140" fillId="0" borderId="171" xfId="2" applyFont="1" applyBorder="1" applyAlignment="1">
      <alignment vertical="center" wrapText="1"/>
    </xf>
    <xf numFmtId="0" fontId="33" fillId="47" borderId="0" xfId="2" applyFill="1" applyAlignment="1">
      <alignment horizontal="center"/>
    </xf>
    <xf numFmtId="0" fontId="33" fillId="0" borderId="0" xfId="2" applyNumberFormat="1"/>
    <xf numFmtId="0" fontId="209" fillId="74" borderId="0" xfId="0" applyFont="1" applyFill="1"/>
    <xf numFmtId="0" fontId="89" fillId="3" borderId="42" xfId="0" applyFont="1" applyFill="1" applyBorder="1" applyAlignment="1" applyProtection="1">
      <alignment horizontal="center" vertical="center" wrapText="1"/>
      <protection locked="0"/>
    </xf>
    <xf numFmtId="0" fontId="89" fillId="3" borderId="43" xfId="0" applyFont="1" applyFill="1" applyBorder="1" applyAlignment="1" applyProtection="1">
      <alignment horizontal="center" vertical="center" wrapText="1"/>
      <protection locked="0"/>
    </xf>
    <xf numFmtId="0" fontId="20" fillId="0" borderId="4" xfId="0" applyFont="1" applyBorder="1" applyAlignment="1">
      <alignment horizontal="center" vertical="center" wrapText="1"/>
    </xf>
    <xf numFmtId="49" fontId="20" fillId="0" borderId="4" xfId="0" applyNumberFormat="1" applyFont="1" applyBorder="1" applyAlignment="1" applyProtection="1">
      <alignment horizontal="center" vertical="center" wrapText="1"/>
      <protection locked="0"/>
    </xf>
    <xf numFmtId="0" fontId="19" fillId="12" borderId="4" xfId="0" applyFont="1" applyFill="1" applyBorder="1" applyAlignment="1">
      <alignment horizontal="center" vertical="center" wrapText="1"/>
    </xf>
    <xf numFmtId="172" fontId="32" fillId="65" borderId="166" xfId="2" applyNumberFormat="1" applyFont="1" applyFill="1" applyBorder="1" applyAlignment="1" applyProtection="1">
      <alignment vertical="center" wrapText="1"/>
      <protection hidden="1"/>
    </xf>
    <xf numFmtId="0" fontId="118" fillId="72" borderId="150" xfId="2" applyFont="1" applyFill="1" applyBorder="1" applyAlignment="1">
      <alignment vertical="center" wrapText="1"/>
    </xf>
    <xf numFmtId="0" fontId="118" fillId="72" borderId="150" xfId="2" applyFont="1" applyFill="1" applyBorder="1" applyAlignment="1">
      <alignment horizontal="center" vertical="center" wrapText="1"/>
    </xf>
    <xf numFmtId="173" fontId="20" fillId="0" borderId="4" xfId="0" applyNumberFormat="1" applyFont="1" applyFill="1" applyBorder="1" applyAlignment="1" applyProtection="1">
      <alignment horizontal="center" vertical="center" wrapText="1"/>
      <protection locked="0"/>
    </xf>
    <xf numFmtId="173" fontId="24" fillId="0" borderId="4" xfId="0" applyNumberFormat="1" applyFont="1" applyBorder="1" applyAlignment="1">
      <alignment horizontal="center" vertical="center" wrapText="1"/>
    </xf>
    <xf numFmtId="0" fontId="24" fillId="1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33" fillId="0" borderId="95" xfId="2" applyNumberFormat="1" applyBorder="1" applyAlignment="1">
      <alignment horizontal="left" vertical="center" wrapText="1"/>
    </xf>
    <xf numFmtId="0" fontId="115" fillId="0" borderId="9" xfId="0" applyFont="1" applyBorder="1"/>
    <xf numFmtId="0" fontId="134" fillId="68" borderId="174" xfId="2" applyFont="1" applyFill="1" applyBorder="1" applyAlignment="1" applyProtection="1">
      <alignment horizontal="center" vertical="top" wrapText="1"/>
      <protection hidden="1"/>
    </xf>
    <xf numFmtId="0" fontId="206" fillId="67" borderId="175" xfId="2" applyFont="1" applyFill="1" applyBorder="1" applyAlignment="1" applyProtection="1">
      <alignment horizontal="center" vertical="top" wrapText="1"/>
      <protection hidden="1"/>
    </xf>
    <xf numFmtId="0" fontId="133" fillId="73" borderId="151" xfId="6" applyFont="1" applyFill="1" applyBorder="1" applyAlignment="1" applyProtection="1"/>
    <xf numFmtId="0" fontId="33" fillId="0" borderId="4" xfId="2" applyBorder="1" applyAlignment="1">
      <alignment horizontal="center"/>
    </xf>
    <xf numFmtId="172" fontId="128" fillId="65" borderId="4" xfId="2" applyNumberFormat="1" applyFont="1" applyFill="1" applyBorder="1" applyAlignment="1" applyProtection="1">
      <alignment horizontal="center" vertical="top" wrapText="1"/>
      <protection hidden="1"/>
    </xf>
    <xf numFmtId="0" fontId="33" fillId="0" borderId="4" xfId="2" applyBorder="1" applyAlignment="1">
      <alignment horizontal="center" vertical="top"/>
    </xf>
    <xf numFmtId="0" fontId="156" fillId="67" borderId="4" xfId="2" applyFont="1" applyFill="1" applyBorder="1" applyAlignment="1" applyProtection="1">
      <alignment horizontal="left" vertical="top" wrapText="1"/>
      <protection hidden="1"/>
    </xf>
    <xf numFmtId="0" fontId="128" fillId="0" borderId="4" xfId="2" applyFont="1" applyBorder="1" applyAlignment="1">
      <alignment horizontal="center" vertical="center" wrapText="1"/>
    </xf>
    <xf numFmtId="0" fontId="33" fillId="0" borderId="4" xfId="2" applyBorder="1" applyAlignment="1">
      <alignment horizontal="center" wrapText="1"/>
    </xf>
    <xf numFmtId="0" fontId="33" fillId="0" borderId="4" xfId="2" applyBorder="1" applyAlignment="1">
      <alignment horizontal="center" vertical="center"/>
    </xf>
    <xf numFmtId="0" fontId="33" fillId="0" borderId="4" xfId="2" applyBorder="1" applyAlignment="1">
      <alignment horizontal="center" vertical="top" wrapText="1"/>
    </xf>
    <xf numFmtId="0" fontId="128" fillId="13" borderId="4" xfId="2" applyFont="1" applyFill="1" applyBorder="1" applyAlignment="1">
      <alignment horizontal="center"/>
    </xf>
    <xf numFmtId="0" fontId="33" fillId="47" borderId="4" xfId="2" applyFill="1" applyBorder="1" applyAlignment="1">
      <alignment horizontal="center"/>
    </xf>
    <xf numFmtId="0" fontId="120" fillId="58" borderId="150" xfId="2" applyFont="1" applyFill="1" applyBorder="1" applyAlignment="1">
      <alignment horizontal="left" vertical="top" wrapText="1"/>
    </xf>
    <xf numFmtId="0" fontId="120" fillId="58" borderId="151" xfId="2" applyFont="1" applyFill="1" applyBorder="1" applyAlignment="1">
      <alignment horizontal="left" vertical="top" wrapText="1"/>
    </xf>
    <xf numFmtId="0" fontId="126" fillId="59" borderId="98" xfId="2" applyFont="1" applyFill="1" applyBorder="1" applyAlignment="1">
      <alignment horizontal="center" vertical="center" wrapText="1"/>
    </xf>
    <xf numFmtId="22" fontId="16" fillId="10" borderId="30" xfId="0" applyNumberFormat="1" applyFont="1" applyFill="1" applyBorder="1" applyAlignment="1">
      <alignment horizontal="center" vertical="center"/>
    </xf>
    <xf numFmtId="0" fontId="67" fillId="27" borderId="9" xfId="0" applyFont="1" applyFill="1" applyBorder="1" applyAlignment="1" applyProtection="1">
      <alignment horizontal="center" vertical="center" wrapText="1"/>
    </xf>
    <xf numFmtId="0" fontId="67" fillId="27" borderId="0" xfId="0" applyFont="1" applyFill="1" applyBorder="1" applyAlignment="1" applyProtection="1">
      <alignment horizontal="center" vertical="center" wrapText="1"/>
    </xf>
    <xf numFmtId="0" fontId="54" fillId="48" borderId="0" xfId="0" applyFont="1" applyFill="1" applyAlignment="1">
      <alignment horizontal="center" vertical="center" wrapText="1"/>
    </xf>
    <xf numFmtId="0" fontId="54" fillId="51" borderId="0" xfId="0" applyFont="1" applyFill="1" applyBorder="1" applyAlignment="1">
      <alignment horizontal="center" vertical="center" wrapText="1"/>
    </xf>
    <xf numFmtId="0" fontId="89" fillId="3" borderId="42" xfId="0" applyFont="1" applyFill="1" applyBorder="1" applyAlignment="1" applyProtection="1">
      <alignment horizontal="center" vertical="center" wrapText="1"/>
      <protection locked="0"/>
    </xf>
    <xf numFmtId="0" fontId="89" fillId="3" borderId="43" xfId="0" applyFont="1" applyFill="1" applyBorder="1" applyAlignment="1" applyProtection="1">
      <alignment horizontal="center" vertical="center" wrapText="1"/>
      <protection locked="0"/>
    </xf>
    <xf numFmtId="0" fontId="89" fillId="3" borderId="42" xfId="0" applyNumberFormat="1" applyFont="1" applyFill="1" applyBorder="1" applyAlignment="1" applyProtection="1">
      <alignment horizontal="center" vertical="center" wrapText="1"/>
      <protection locked="0" hidden="1"/>
    </xf>
    <xf numFmtId="0" fontId="89" fillId="3" borderId="43" xfId="0" applyNumberFormat="1" applyFont="1" applyFill="1" applyBorder="1" applyAlignment="1" applyProtection="1">
      <alignment horizontal="center" vertical="center" wrapText="1"/>
      <protection locked="0" hidden="1"/>
    </xf>
    <xf numFmtId="0" fontId="90" fillId="7" borderId="29" xfId="0" applyFont="1" applyFill="1" applyBorder="1" applyAlignment="1" applyProtection="1">
      <alignment horizontal="left" vertical="center" wrapText="1"/>
    </xf>
    <xf numFmtId="0" fontId="90" fillId="7" borderId="30" xfId="0" applyFont="1" applyFill="1" applyBorder="1" applyAlignment="1" applyProtection="1">
      <alignment horizontal="left" vertical="center" wrapText="1"/>
    </xf>
    <xf numFmtId="0" fontId="90" fillId="7" borderId="31" xfId="0" applyFont="1" applyFill="1" applyBorder="1" applyAlignment="1" applyProtection="1">
      <alignment horizontal="left" vertical="center" wrapText="1"/>
    </xf>
    <xf numFmtId="0" fontId="89" fillId="3" borderId="45" xfId="0" applyFont="1" applyFill="1" applyBorder="1" applyAlignment="1" applyProtection="1">
      <alignment horizontal="center" vertical="center" wrapText="1"/>
      <protection locked="0"/>
    </xf>
    <xf numFmtId="0" fontId="89" fillId="3" borderId="46" xfId="0" applyFont="1" applyFill="1" applyBorder="1" applyAlignment="1" applyProtection="1">
      <alignment horizontal="center" vertical="center" wrapText="1"/>
      <protection locked="0"/>
    </xf>
    <xf numFmtId="0" fontId="90" fillId="7" borderId="29" xfId="0" applyFont="1" applyFill="1" applyBorder="1" applyAlignment="1" applyProtection="1">
      <alignment horizontal="center" vertical="center" wrapText="1"/>
    </xf>
    <xf numFmtId="0" fontId="90" fillId="7" borderId="30" xfId="0" applyFont="1" applyFill="1" applyBorder="1" applyAlignment="1" applyProtection="1">
      <alignment horizontal="center" vertical="center" wrapText="1"/>
    </xf>
    <xf numFmtId="0" fontId="90" fillId="7" borderId="31" xfId="0" applyFont="1" applyFill="1" applyBorder="1" applyAlignment="1" applyProtection="1">
      <alignment horizontal="center" vertical="center" wrapText="1"/>
    </xf>
    <xf numFmtId="168" fontId="63" fillId="3" borderId="29" xfId="1" applyNumberFormat="1" applyFont="1" applyFill="1" applyBorder="1" applyAlignment="1" applyProtection="1">
      <alignment horizontal="center" vertical="top" wrapText="1"/>
    </xf>
    <xf numFmtId="168" fontId="64" fillId="3" borderId="30" xfId="0" applyNumberFormat="1" applyFont="1" applyFill="1" applyBorder="1" applyAlignment="1" applyProtection="1">
      <alignment horizontal="center" vertical="top" wrapText="1"/>
    </xf>
    <xf numFmtId="0" fontId="16" fillId="8" borderId="61" xfId="0" applyFont="1" applyFill="1" applyBorder="1" applyAlignment="1">
      <alignment horizontal="center" vertical="center"/>
    </xf>
    <xf numFmtId="0" fontId="16" fillId="8" borderId="0" xfId="0" applyFont="1" applyFill="1" applyBorder="1" applyAlignment="1">
      <alignment horizontal="center" vertical="center"/>
    </xf>
    <xf numFmtId="0" fontId="16" fillId="8" borderId="92" xfId="0" applyFont="1" applyFill="1" applyBorder="1" applyAlignment="1">
      <alignment horizontal="center" vertical="center"/>
    </xf>
    <xf numFmtId="0" fontId="87" fillId="3" borderId="81" xfId="0" applyFont="1" applyFill="1" applyBorder="1" applyAlignment="1">
      <alignment horizontal="center" vertical="center" wrapText="1"/>
    </xf>
    <xf numFmtId="0" fontId="87" fillId="3" borderId="82" xfId="0" applyFont="1" applyFill="1" applyBorder="1" applyAlignment="1">
      <alignment horizontal="center" vertical="center" wrapText="1"/>
    </xf>
    <xf numFmtId="0" fontId="65" fillId="5" borderId="9" xfId="0" applyFont="1" applyFill="1" applyBorder="1" applyAlignment="1" applyProtection="1">
      <alignment horizontal="center" vertical="center" wrapText="1"/>
    </xf>
    <xf numFmtId="0" fontId="65" fillId="5" borderId="0" xfId="0" applyFont="1" applyFill="1" applyBorder="1" applyAlignment="1" applyProtection="1">
      <alignment horizontal="center" vertical="center" wrapText="1"/>
    </xf>
    <xf numFmtId="2" fontId="106" fillId="0" borderId="14" xfId="0" applyNumberFormat="1" applyFont="1" applyFill="1" applyBorder="1" applyAlignment="1" applyProtection="1">
      <alignment horizontal="center"/>
      <protection locked="0"/>
    </xf>
    <xf numFmtId="0" fontId="91" fillId="19" borderId="37" xfId="0" applyFont="1" applyFill="1" applyBorder="1" applyAlignment="1" applyProtection="1">
      <alignment horizontal="center" vertical="center" wrapText="1"/>
    </xf>
    <xf numFmtId="0" fontId="91" fillId="19" borderId="38" xfId="0" applyFont="1" applyFill="1" applyBorder="1" applyAlignment="1" applyProtection="1">
      <alignment horizontal="center" vertical="center" wrapText="1"/>
    </xf>
    <xf numFmtId="0" fontId="30" fillId="20" borderId="39" xfId="0" applyFont="1" applyFill="1" applyBorder="1" applyAlignment="1" applyProtection="1">
      <alignment horizontal="center" vertical="center" wrapText="1"/>
    </xf>
    <xf numFmtId="0" fontId="30" fillId="20" borderId="40" xfId="0" applyFont="1" applyFill="1" applyBorder="1" applyAlignment="1" applyProtection="1">
      <alignment horizontal="center" vertical="center" wrapText="1"/>
    </xf>
    <xf numFmtId="0" fontId="90" fillId="16" borderId="37" xfId="0" applyFont="1" applyFill="1" applyBorder="1" applyAlignment="1" applyProtection="1">
      <alignment horizontal="center" vertical="center" wrapText="1"/>
    </xf>
    <xf numFmtId="0" fontId="90" fillId="16" borderId="38" xfId="0" applyFont="1" applyFill="1" applyBorder="1" applyAlignment="1" applyProtection="1">
      <alignment horizontal="center" vertical="center" wrapText="1"/>
    </xf>
    <xf numFmtId="0" fontId="90" fillId="7" borderId="85" xfId="0" applyFont="1" applyFill="1" applyBorder="1" applyAlignment="1" applyProtection="1">
      <alignment horizontal="center" vertical="center" wrapText="1"/>
    </xf>
    <xf numFmtId="0" fontId="90" fillId="7" borderId="86" xfId="0" applyFont="1" applyFill="1" applyBorder="1" applyAlignment="1" applyProtection="1">
      <alignment horizontal="center" vertical="center" wrapText="1"/>
    </xf>
    <xf numFmtId="0" fontId="90" fillId="7" borderId="87" xfId="0" applyFont="1" applyFill="1" applyBorder="1" applyAlignment="1" applyProtection="1">
      <alignment horizontal="center" vertical="center" wrapText="1"/>
    </xf>
    <xf numFmtId="170" fontId="89" fillId="3" borderId="83" xfId="0" applyNumberFormat="1" applyFont="1" applyFill="1" applyBorder="1" applyAlignment="1" applyProtection="1">
      <alignment horizontal="center" vertical="center" wrapText="1"/>
      <protection locked="0"/>
    </xf>
    <xf numFmtId="170" fontId="89" fillId="3" borderId="84" xfId="0" applyNumberFormat="1" applyFont="1" applyFill="1" applyBorder="1" applyAlignment="1" applyProtection="1">
      <alignment horizontal="center" vertical="center" wrapText="1"/>
      <protection locked="0"/>
    </xf>
    <xf numFmtId="0" fontId="173" fillId="3" borderId="42" xfId="0" applyFont="1" applyFill="1" applyBorder="1" applyAlignment="1" applyProtection="1">
      <alignment horizontal="center" vertical="center" wrapText="1"/>
      <protection locked="0"/>
    </xf>
    <xf numFmtId="0" fontId="173" fillId="3" borderId="43" xfId="0" applyFont="1" applyFill="1" applyBorder="1" applyAlignment="1" applyProtection="1">
      <alignment horizontal="center" vertical="center" wrapText="1"/>
      <protection locked="0"/>
    </xf>
    <xf numFmtId="169" fontId="31" fillId="16" borderId="30" xfId="0" applyNumberFormat="1" applyFont="1" applyFill="1" applyBorder="1" applyAlignment="1" applyProtection="1">
      <alignment horizontal="center" vertical="center" wrapText="1"/>
    </xf>
    <xf numFmtId="169" fontId="31" fillId="16" borderId="31" xfId="0" applyNumberFormat="1" applyFont="1" applyFill="1" applyBorder="1" applyAlignment="1" applyProtection="1">
      <alignment horizontal="center" vertical="center" wrapText="1"/>
    </xf>
    <xf numFmtId="168" fontId="215" fillId="7" borderId="30" xfId="0" applyNumberFormat="1" applyFont="1" applyFill="1" applyBorder="1" applyAlignment="1">
      <alignment horizontal="center" vertical="center"/>
    </xf>
    <xf numFmtId="168" fontId="30" fillId="32" borderId="30" xfId="0" applyNumberFormat="1" applyFont="1" applyFill="1" applyBorder="1" applyAlignment="1" applyProtection="1">
      <alignment horizontal="center" vertical="center" wrapText="1"/>
    </xf>
    <xf numFmtId="0" fontId="87" fillId="3" borderId="59" xfId="0" applyFont="1" applyFill="1" applyBorder="1" applyAlignment="1">
      <alignment horizontal="center" vertical="center" wrapText="1"/>
    </xf>
    <xf numFmtId="0" fontId="87" fillId="3" borderId="60" xfId="0" applyFont="1" applyFill="1" applyBorder="1" applyAlignment="1">
      <alignment horizontal="center" vertical="center" wrapText="1"/>
    </xf>
    <xf numFmtId="1" fontId="83" fillId="25" borderId="0" xfId="0" applyNumberFormat="1" applyFont="1" applyFill="1" applyBorder="1" applyAlignment="1" applyProtection="1">
      <alignment horizontal="center" vertical="center" wrapText="1"/>
      <protection hidden="1"/>
    </xf>
    <xf numFmtId="168" fontId="30" fillId="17" borderId="30" xfId="0" applyNumberFormat="1" applyFont="1" applyFill="1" applyBorder="1" applyAlignment="1" applyProtection="1">
      <alignment horizontal="center" vertical="center" wrapText="1"/>
    </xf>
    <xf numFmtId="1" fontId="171" fillId="69" borderId="107" xfId="0" applyNumberFormat="1" applyFont="1" applyFill="1" applyBorder="1" applyAlignment="1" applyProtection="1">
      <alignment horizontal="center" vertical="center" wrapText="1"/>
      <protection hidden="1"/>
    </xf>
    <xf numFmtId="1" fontId="171" fillId="69" borderId="108" xfId="0" applyNumberFormat="1" applyFont="1" applyFill="1" applyBorder="1" applyAlignment="1" applyProtection="1">
      <alignment horizontal="center" vertical="center" wrapText="1"/>
      <protection hidden="1"/>
    </xf>
    <xf numFmtId="0" fontId="30" fillId="18" borderId="34" xfId="0" applyFont="1" applyFill="1" applyBorder="1" applyAlignment="1" applyProtection="1">
      <alignment horizontal="center" vertical="center" wrapText="1"/>
    </xf>
    <xf numFmtId="0" fontId="30" fillId="18" borderId="33" xfId="0" applyFont="1" applyFill="1" applyBorder="1" applyAlignment="1" applyProtection="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2" fontId="81" fillId="27" borderId="51" xfId="0" applyNumberFormat="1" applyFont="1" applyFill="1" applyBorder="1" applyAlignment="1">
      <alignment horizontal="center"/>
    </xf>
    <xf numFmtId="2" fontId="81" fillId="27" borderId="56" xfId="0" applyNumberFormat="1" applyFont="1" applyFill="1" applyBorder="1" applyAlignment="1">
      <alignment horizontal="center"/>
    </xf>
    <xf numFmtId="2" fontId="77" fillId="24" borderId="109" xfId="0" applyNumberFormat="1" applyFont="1" applyFill="1" applyBorder="1" applyAlignment="1" applyProtection="1">
      <alignment horizontal="center" vertical="center" wrapText="1"/>
      <protection hidden="1"/>
    </xf>
    <xf numFmtId="2" fontId="77" fillId="24" borderId="110" xfId="0" applyNumberFormat="1" applyFont="1" applyFill="1" applyBorder="1" applyAlignment="1" applyProtection="1">
      <alignment horizontal="center" vertical="center" wrapText="1"/>
      <protection hidden="1"/>
    </xf>
    <xf numFmtId="2" fontId="77" fillId="24" borderId="111" xfId="0" applyNumberFormat="1" applyFont="1" applyFill="1" applyBorder="1" applyAlignment="1" applyProtection="1">
      <alignment horizontal="center" vertical="center" wrapText="1"/>
      <protection hidden="1"/>
    </xf>
    <xf numFmtId="0" fontId="213" fillId="46" borderId="0" xfId="0" applyFont="1" applyFill="1" applyBorder="1" applyAlignment="1" applyProtection="1">
      <alignment horizontal="center" vertical="center" wrapText="1"/>
    </xf>
    <xf numFmtId="0" fontId="213" fillId="46" borderId="89" xfId="0" applyFont="1" applyFill="1" applyBorder="1" applyAlignment="1" applyProtection="1">
      <alignment horizontal="center" vertical="center" wrapText="1"/>
    </xf>
    <xf numFmtId="2" fontId="107" fillId="24" borderId="0" xfId="0" applyNumberFormat="1" applyFont="1" applyFill="1" applyBorder="1" applyAlignment="1">
      <alignment horizontal="center" vertical="center" wrapText="1"/>
    </xf>
    <xf numFmtId="2" fontId="107" fillId="24" borderId="0" xfId="0" applyNumberFormat="1" applyFont="1" applyFill="1" applyBorder="1" applyAlignment="1">
      <alignment horizontal="center" vertical="center"/>
    </xf>
    <xf numFmtId="2" fontId="82" fillId="3" borderId="53" xfId="0" applyNumberFormat="1" applyFont="1" applyFill="1" applyBorder="1" applyAlignment="1">
      <alignment horizontal="center"/>
    </xf>
    <xf numFmtId="2" fontId="82" fillId="3" borderId="54" xfId="0" applyNumberFormat="1" applyFont="1" applyFill="1" applyBorder="1" applyAlignment="1">
      <alignment horizontal="center"/>
    </xf>
    <xf numFmtId="2" fontId="76" fillId="35" borderId="8" xfId="0" applyNumberFormat="1" applyFont="1" applyFill="1" applyBorder="1" applyAlignment="1" applyProtection="1">
      <alignment horizontal="center"/>
      <protection hidden="1"/>
    </xf>
    <xf numFmtId="2" fontId="76" fillId="35" borderId="12" xfId="0" applyNumberFormat="1" applyFont="1" applyFill="1" applyBorder="1" applyAlignment="1" applyProtection="1">
      <alignment horizontal="center"/>
      <protection hidden="1"/>
    </xf>
    <xf numFmtId="0" fontId="61" fillId="4" borderId="12" xfId="0" applyFont="1" applyFill="1" applyBorder="1" applyAlignment="1" applyProtection="1">
      <alignment horizontal="center" vertical="center" wrapText="1"/>
    </xf>
    <xf numFmtId="0" fontId="61" fillId="4" borderId="0" xfId="0" applyFont="1" applyFill="1" applyBorder="1" applyAlignment="1" applyProtection="1">
      <alignment horizontal="center" vertical="center" wrapText="1"/>
    </xf>
    <xf numFmtId="0" fontId="95" fillId="46" borderId="0" xfId="0" applyFont="1" applyFill="1" applyAlignment="1">
      <alignment horizontal="center" vertical="center"/>
    </xf>
    <xf numFmtId="0" fontId="54" fillId="4" borderId="0" xfId="0" applyFont="1" applyFill="1" applyAlignment="1">
      <alignment horizontal="center" vertical="center" wrapText="1"/>
    </xf>
    <xf numFmtId="0" fontId="94" fillId="44" borderId="0" xfId="0" applyFont="1" applyFill="1" applyAlignment="1">
      <alignment horizontal="center" wrapText="1"/>
    </xf>
    <xf numFmtId="0" fontId="94" fillId="44" borderId="89" xfId="0" applyFont="1" applyFill="1" applyBorder="1" applyAlignment="1">
      <alignment horizontal="center" wrapText="1"/>
    </xf>
    <xf numFmtId="0" fontId="67" fillId="29" borderId="0" xfId="0" applyFont="1" applyFill="1" applyAlignment="1">
      <alignment horizontal="center" vertical="center" wrapText="1"/>
    </xf>
    <xf numFmtId="0" fontId="67" fillId="29" borderId="89" xfId="0" applyFont="1" applyFill="1" applyBorder="1" applyAlignment="1">
      <alignment horizontal="center" vertical="center" wrapText="1"/>
    </xf>
    <xf numFmtId="0" fontId="93" fillId="45" borderId="0" xfId="0" applyFont="1" applyFill="1" applyBorder="1" applyAlignment="1">
      <alignment horizontal="center" vertical="center" wrapText="1"/>
    </xf>
    <xf numFmtId="0" fontId="93" fillId="45" borderId="89" xfId="0" applyFont="1" applyFill="1" applyBorder="1" applyAlignment="1">
      <alignment horizontal="center" vertical="center" wrapText="1"/>
    </xf>
    <xf numFmtId="2" fontId="175" fillId="0" borderId="14" xfId="0" applyNumberFormat="1" applyFont="1" applyBorder="1" applyAlignment="1">
      <alignment horizontal="center" vertical="center"/>
    </xf>
    <xf numFmtId="0" fontId="175" fillId="0" borderId="14" xfId="0" applyFont="1" applyBorder="1" applyAlignment="1">
      <alignment horizontal="center" vertical="center"/>
    </xf>
    <xf numFmtId="0" fontId="50" fillId="2" borderId="0" xfId="0" applyFont="1" applyFill="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02" xfId="0" applyFont="1" applyFill="1" applyBorder="1" applyAlignment="1">
      <alignment horizontal="center" vertical="center"/>
    </xf>
    <xf numFmtId="0" fontId="7" fillId="2" borderId="3" xfId="0" applyFont="1" applyFill="1" applyBorder="1" applyAlignment="1">
      <alignment horizontal="center" vertical="center"/>
    </xf>
    <xf numFmtId="0" fontId="12" fillId="2" borderId="0" xfId="0" applyFont="1" applyFill="1" applyAlignment="1">
      <alignment horizont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48" fillId="2" borderId="4" xfId="0" applyFont="1" applyFill="1" applyBorder="1" applyAlignment="1">
      <alignment horizontal="center" vertical="center"/>
    </xf>
    <xf numFmtId="0" fontId="13" fillId="2" borderId="0" xfId="0" applyFont="1" applyFill="1" applyBorder="1" applyAlignment="1">
      <alignment horizontal="center"/>
    </xf>
    <xf numFmtId="17" fontId="39" fillId="0" borderId="1" xfId="0" applyNumberFormat="1" applyFont="1" applyBorder="1" applyAlignment="1" applyProtection="1">
      <alignment horizontal="center" vertical="center"/>
      <protection locked="0"/>
    </xf>
    <xf numFmtId="17" fontId="39" fillId="0" borderId="3" xfId="0" applyNumberFormat="1" applyFont="1" applyBorder="1" applyAlignment="1" applyProtection="1">
      <alignment horizontal="center" vertical="center"/>
      <protection locked="0"/>
    </xf>
    <xf numFmtId="0" fontId="1" fillId="0" borderId="4" xfId="0" applyFont="1" applyBorder="1" applyAlignment="1">
      <alignment horizontal="center"/>
    </xf>
    <xf numFmtId="0" fontId="1" fillId="0" borderId="101" xfId="0" applyFont="1" applyBorder="1" applyAlignment="1">
      <alignment horizontal="center"/>
    </xf>
    <xf numFmtId="0" fontId="56" fillId="0" borderId="4" xfId="0" applyFont="1" applyBorder="1" applyAlignment="1" applyProtection="1">
      <alignment horizontal="center" vertical="center"/>
      <protection hidden="1"/>
    </xf>
    <xf numFmtId="0" fontId="1" fillId="0" borderId="4" xfId="0" applyFont="1" applyBorder="1" applyAlignment="1">
      <alignment horizontal="center" vertical="center" wrapText="1"/>
    </xf>
    <xf numFmtId="0" fontId="10" fillId="2" borderId="4" xfId="0" applyFont="1" applyFill="1" applyBorder="1" applyAlignment="1">
      <alignment horizontal="center" vertical="center"/>
    </xf>
    <xf numFmtId="0" fontId="110" fillId="0" borderId="5" xfId="0" applyFont="1" applyBorder="1" applyAlignment="1">
      <alignment horizontal="center" vertical="center" wrapText="1"/>
    </xf>
    <xf numFmtId="0" fontId="110" fillId="0" borderId="6" xfId="0" applyFont="1" applyBorder="1" applyAlignment="1">
      <alignment horizontal="center" vertical="center" wrapText="1"/>
    </xf>
    <xf numFmtId="0" fontId="174" fillId="0" borderId="8" xfId="0" applyFont="1" applyFill="1" applyBorder="1" applyAlignment="1" applyProtection="1">
      <alignment horizontal="center" vertical="center"/>
    </xf>
    <xf numFmtId="0" fontId="174" fillId="0" borderId="12" xfId="0" applyFont="1" applyFill="1" applyBorder="1" applyAlignment="1" applyProtection="1">
      <alignment horizontal="center" vertical="center"/>
    </xf>
    <xf numFmtId="0" fontId="174" fillId="0" borderId="10" xfId="0" applyFont="1" applyFill="1" applyBorder="1" applyAlignment="1" applyProtection="1">
      <alignment horizontal="center" vertical="center"/>
    </xf>
    <xf numFmtId="0" fontId="174" fillId="0" borderId="112" xfId="0" applyFont="1" applyFill="1" applyBorder="1" applyAlignment="1" applyProtection="1">
      <alignment horizontal="center" vertical="center"/>
    </xf>
    <xf numFmtId="0" fontId="174" fillId="0" borderId="14" xfId="0" applyFont="1" applyFill="1" applyBorder="1" applyAlignment="1" applyProtection="1">
      <alignment horizontal="center" vertical="center"/>
    </xf>
    <xf numFmtId="0" fontId="174" fillId="0" borderId="113" xfId="0" applyFont="1" applyFill="1" applyBorder="1" applyAlignment="1" applyProtection="1">
      <alignment horizontal="center" vertical="center"/>
    </xf>
    <xf numFmtId="0" fontId="56" fillId="0" borderId="104" xfId="0" applyFont="1" applyBorder="1" applyAlignment="1" applyProtection="1">
      <alignment horizontal="center" vertical="center"/>
      <protection hidden="1"/>
    </xf>
    <xf numFmtId="0" fontId="56" fillId="0" borderId="103" xfId="0" applyFont="1" applyBorder="1" applyAlignment="1" applyProtection="1">
      <alignment horizontal="center" vertical="center"/>
      <protection hidden="1"/>
    </xf>
    <xf numFmtId="2" fontId="2" fillId="0" borderId="4" xfId="0" applyNumberFormat="1" applyFont="1" applyBorder="1" applyAlignment="1" applyProtection="1">
      <alignment horizontal="center" vertical="center"/>
      <protection hidden="1"/>
    </xf>
    <xf numFmtId="0" fontId="98" fillId="0" borderId="2" xfId="0" applyFont="1" applyBorder="1" applyAlignment="1" applyProtection="1">
      <alignment horizontal="center" vertical="center"/>
      <protection hidden="1"/>
    </xf>
    <xf numFmtId="0" fontId="98" fillId="0" borderId="102" xfId="0" applyFont="1" applyBorder="1" applyAlignment="1" applyProtection="1">
      <alignment horizontal="center" vertical="center"/>
      <protection hidden="1"/>
    </xf>
    <xf numFmtId="0" fontId="98" fillId="0" borderId="3" xfId="0" applyFont="1" applyBorder="1" applyAlignment="1" applyProtection="1">
      <alignment horizontal="center" vertical="center"/>
      <protection hidden="1"/>
    </xf>
    <xf numFmtId="0" fontId="56" fillId="0" borderId="1" xfId="0" applyFont="1" applyBorder="1" applyAlignment="1" applyProtection="1">
      <alignment horizontal="center" vertical="center"/>
      <protection hidden="1"/>
    </xf>
    <xf numFmtId="0" fontId="56" fillId="0" borderId="2" xfId="0" applyFont="1" applyBorder="1" applyAlignment="1" applyProtection="1">
      <alignment horizontal="center" vertical="center"/>
      <protection hidden="1"/>
    </xf>
    <xf numFmtId="0" fontId="56" fillId="0" borderId="3" xfId="0" applyFont="1" applyBorder="1" applyAlignment="1" applyProtection="1">
      <alignment horizontal="center" vertical="center"/>
      <protection hidden="1"/>
    </xf>
    <xf numFmtId="0" fontId="99" fillId="0" borderId="4" xfId="1" applyFont="1" applyBorder="1" applyAlignment="1" applyProtection="1">
      <alignment horizontal="center" vertical="top" wrapText="1"/>
    </xf>
    <xf numFmtId="0" fontId="55" fillId="0" borderId="4" xfId="2" applyFont="1" applyBorder="1" applyAlignment="1">
      <alignment horizontal="center" vertical="top" wrapText="1"/>
    </xf>
    <xf numFmtId="0" fontId="99" fillId="0" borderId="4" xfId="1" applyFont="1" applyBorder="1" applyAlignment="1" applyProtection="1">
      <alignment horizontal="center"/>
    </xf>
    <xf numFmtId="0" fontId="47" fillId="0" borderId="4" xfId="2" applyFont="1" applyBorder="1" applyAlignment="1">
      <alignment horizontal="left" vertical="center"/>
    </xf>
    <xf numFmtId="0" fontId="21" fillId="0" borderId="2" xfId="2" applyFont="1" applyBorder="1" applyAlignment="1">
      <alignment horizontal="center" vertical="center"/>
    </xf>
    <xf numFmtId="0" fontId="21" fillId="0" borderId="3" xfId="2" applyFont="1" applyBorder="1" applyAlignment="1">
      <alignment horizontal="center" vertical="center"/>
    </xf>
    <xf numFmtId="0" fontId="47" fillId="0" borderId="62" xfId="2" applyFont="1" applyBorder="1" applyAlignment="1">
      <alignment horizontal="center" vertical="center"/>
    </xf>
    <xf numFmtId="0" fontId="47" fillId="0" borderId="19" xfId="2" applyFont="1" applyBorder="1" applyAlignment="1">
      <alignment horizontal="center" vertical="center"/>
    </xf>
    <xf numFmtId="0" fontId="47" fillId="0" borderId="1" xfId="2" applyFont="1" applyBorder="1" applyAlignment="1">
      <alignment horizontal="center" vertical="center"/>
    </xf>
    <xf numFmtId="0" fontId="47" fillId="0" borderId="3" xfId="2" applyFont="1" applyBorder="1" applyAlignment="1">
      <alignment horizontal="center" vertical="center"/>
    </xf>
    <xf numFmtId="2" fontId="38" fillId="0" borderId="1" xfId="2" applyNumberFormat="1" applyFont="1" applyBorder="1" applyAlignment="1">
      <alignment horizontal="center" vertical="center"/>
    </xf>
    <xf numFmtId="2" fontId="38" fillId="0" borderId="3" xfId="2" applyNumberFormat="1" applyFont="1" applyBorder="1" applyAlignment="1">
      <alignment horizontal="center" vertical="center"/>
    </xf>
    <xf numFmtId="0" fontId="47" fillId="0" borderId="4" xfId="2" applyFont="1" applyFill="1" applyBorder="1" applyAlignment="1">
      <alignment vertical="center"/>
    </xf>
    <xf numFmtId="0" fontId="47" fillId="0" borderId="1" xfId="2" applyFont="1" applyBorder="1" applyAlignment="1">
      <alignment horizontal="left" vertical="center"/>
    </xf>
    <xf numFmtId="0" fontId="47" fillId="0" borderId="2" xfId="2" applyFont="1" applyBorder="1" applyAlignment="1">
      <alignment horizontal="left" vertical="center"/>
    </xf>
    <xf numFmtId="0" fontId="47" fillId="0" borderId="3" xfId="2" applyFont="1" applyBorder="1" applyAlignment="1">
      <alignment horizontal="left" vertical="center"/>
    </xf>
    <xf numFmtId="0" fontId="47" fillId="0" borderId="4" xfId="2" applyFont="1" applyFill="1" applyBorder="1" applyAlignment="1">
      <alignment horizontal="left" vertical="center"/>
    </xf>
    <xf numFmtId="0" fontId="34" fillId="0" borderId="1" xfId="2" applyFont="1" applyBorder="1" applyAlignment="1">
      <alignment horizontal="left" vertical="center" wrapText="1"/>
    </xf>
    <xf numFmtId="0" fontId="34" fillId="0" borderId="2" xfId="2" applyFont="1" applyBorder="1" applyAlignment="1">
      <alignment horizontal="left" vertical="center" wrapText="1"/>
    </xf>
    <xf numFmtId="0" fontId="17" fillId="0" borderId="1" xfId="2" applyFont="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21" fillId="0" borderId="1" xfId="2" applyFont="1" applyBorder="1" applyAlignment="1">
      <alignment horizontal="center" vertical="center"/>
    </xf>
    <xf numFmtId="2" fontId="41" fillId="0" borderId="0" xfId="2" applyNumberFormat="1" applyFont="1" applyAlignment="1">
      <alignment horizontal="center" vertical="center"/>
    </xf>
    <xf numFmtId="0" fontId="41" fillId="0" borderId="0" xfId="2" applyFont="1" applyAlignment="1">
      <alignment horizontal="center" vertical="center"/>
    </xf>
    <xf numFmtId="0" fontId="5" fillId="0" borderId="0" xfId="2" applyFont="1" applyBorder="1" applyAlignment="1">
      <alignment horizontal="center" vertical="center"/>
    </xf>
    <xf numFmtId="0" fontId="42" fillId="0" borderId="1" xfId="2" applyFont="1" applyFill="1" applyBorder="1" applyAlignment="1">
      <alignment horizontal="center" vertical="center"/>
    </xf>
    <xf numFmtId="0" fontId="42" fillId="0" borderId="3" xfId="2" applyFont="1" applyFill="1" applyBorder="1" applyAlignment="1">
      <alignment horizontal="center" vertical="center"/>
    </xf>
    <xf numFmtId="0" fontId="47" fillId="0" borderId="8" xfId="2" applyFont="1" applyBorder="1" applyAlignment="1">
      <alignment horizontal="left" vertical="center" wrapText="1"/>
    </xf>
    <xf numFmtId="0" fontId="47" fillId="0" borderId="10" xfId="2" applyFont="1" applyBorder="1" applyAlignment="1">
      <alignment horizontal="left" vertical="center" wrapText="1"/>
    </xf>
    <xf numFmtId="0" fontId="47" fillId="0" borderId="13" xfId="2" applyFont="1" applyBorder="1" applyAlignment="1">
      <alignment horizontal="left" vertical="center" wrapText="1"/>
    </xf>
    <xf numFmtId="0" fontId="47" fillId="0" borderId="11" xfId="2" applyFont="1" applyBorder="1" applyAlignment="1">
      <alignment horizontal="left" vertical="center" wrapText="1"/>
    </xf>
    <xf numFmtId="0" fontId="47" fillId="0" borderId="2" xfId="2" applyFont="1" applyBorder="1" applyAlignment="1">
      <alignment horizontal="center" vertical="center"/>
    </xf>
    <xf numFmtId="0" fontId="47" fillId="0" borderId="4" xfId="2" applyFont="1" applyBorder="1" applyAlignment="1">
      <alignment horizontal="center" vertical="center"/>
    </xf>
    <xf numFmtId="0" fontId="47" fillId="0" borderId="4" xfId="2" applyFont="1" applyBorder="1" applyAlignment="1">
      <alignment horizontal="right" vertical="center"/>
    </xf>
    <xf numFmtId="2" fontId="38" fillId="0" borderId="4" xfId="2" applyNumberFormat="1" applyFont="1" applyBorder="1" applyAlignment="1">
      <alignment horizontal="center" vertical="center"/>
    </xf>
    <xf numFmtId="2" fontId="38" fillId="0" borderId="2" xfId="2" applyNumberFormat="1" applyFont="1" applyBorder="1" applyAlignment="1">
      <alignment horizontal="center" vertical="center"/>
    </xf>
    <xf numFmtId="0" fontId="21" fillId="0" borderId="2" xfId="2" applyFont="1" applyBorder="1" applyAlignment="1">
      <alignment horizontal="left" vertical="center"/>
    </xf>
    <xf numFmtId="0" fontId="21" fillId="0" borderId="3" xfId="2" applyFont="1" applyBorder="1" applyAlignment="1">
      <alignment horizontal="left" vertical="center"/>
    </xf>
    <xf numFmtId="0" fontId="38" fillId="0" borderId="21" xfId="2" applyFont="1" applyBorder="1" applyAlignment="1">
      <alignment horizontal="center" vertical="center"/>
    </xf>
    <xf numFmtId="0" fontId="42" fillId="0" borderId="104" xfId="3" applyFont="1" applyFill="1" applyBorder="1" applyAlignment="1">
      <alignment horizontal="center" vertical="center"/>
    </xf>
    <xf numFmtId="0" fontId="42" fillId="0" borderId="102" xfId="3" applyFont="1" applyFill="1" applyBorder="1" applyAlignment="1">
      <alignment horizontal="center" vertical="center"/>
    </xf>
    <xf numFmtId="0" fontId="42" fillId="0" borderId="103" xfId="3" applyFont="1" applyFill="1" applyBorder="1" applyAlignment="1">
      <alignment horizontal="center" vertical="center"/>
    </xf>
    <xf numFmtId="0" fontId="38" fillId="0" borderId="64" xfId="2" applyFont="1" applyBorder="1" applyAlignment="1">
      <alignment horizontal="center" vertical="center"/>
    </xf>
    <xf numFmtId="0" fontId="38" fillId="0" borderId="65" xfId="2" applyFont="1" applyBorder="1" applyAlignment="1">
      <alignment horizontal="center" vertical="center"/>
    </xf>
    <xf numFmtId="0" fontId="38" fillId="0" borderId="25" xfId="2" applyFont="1" applyBorder="1" applyAlignment="1">
      <alignment horizontal="center" vertical="center"/>
    </xf>
    <xf numFmtId="0" fontId="37" fillId="0" borderId="4" xfId="2" applyFont="1" applyBorder="1" applyAlignment="1">
      <alignment horizontal="left" vertical="center"/>
    </xf>
    <xf numFmtId="0" fontId="37" fillId="0" borderId="22" xfId="2" applyFont="1" applyBorder="1" applyAlignment="1">
      <alignment horizontal="left" vertical="center"/>
    </xf>
    <xf numFmtId="0" fontId="34" fillId="0" borderId="4" xfId="2" applyFont="1" applyBorder="1" applyAlignment="1">
      <alignment horizontal="left" vertical="center"/>
    </xf>
    <xf numFmtId="0" fontId="34" fillId="0" borderId="22" xfId="2" applyFont="1" applyBorder="1" applyAlignment="1">
      <alignment horizontal="left" vertical="center"/>
    </xf>
    <xf numFmtId="0" fontId="49" fillId="0" borderId="4" xfId="2" applyFont="1" applyFill="1" applyBorder="1" applyAlignment="1">
      <alignment horizontal="left" vertical="center" wrapText="1"/>
    </xf>
    <xf numFmtId="0" fontId="59" fillId="0" borderId="21" xfId="2" applyFont="1" applyBorder="1" applyAlignment="1">
      <alignment horizontal="center" vertical="center"/>
    </xf>
    <xf numFmtId="0" fontId="37" fillId="0" borderId="70" xfId="2" applyFont="1" applyBorder="1" applyAlignment="1">
      <alignment vertical="center"/>
    </xf>
    <xf numFmtId="0" fontId="37" fillId="0" borderId="71" xfId="2" applyFont="1" applyBorder="1" applyAlignment="1">
      <alignment vertical="center"/>
    </xf>
    <xf numFmtId="0" fontId="37" fillId="0" borderId="23" xfId="2" applyFont="1" applyBorder="1" applyAlignment="1">
      <alignment vertical="center"/>
    </xf>
    <xf numFmtId="2" fontId="38" fillId="0" borderId="70" xfId="2" applyNumberFormat="1" applyFont="1" applyBorder="1" applyAlignment="1">
      <alignment vertical="center"/>
    </xf>
    <xf numFmtId="2" fontId="38" fillId="0" borderId="23" xfId="2" applyNumberFormat="1" applyFont="1" applyBorder="1" applyAlignment="1">
      <alignment vertical="center"/>
    </xf>
    <xf numFmtId="0" fontId="37" fillId="0" borderId="1" xfId="2" applyFont="1" applyBorder="1" applyAlignment="1">
      <alignment horizontal="center" vertical="center"/>
    </xf>
    <xf numFmtId="0" fontId="37" fillId="0" borderId="2" xfId="2" applyFont="1" applyBorder="1" applyAlignment="1">
      <alignment horizontal="center" vertical="center"/>
    </xf>
    <xf numFmtId="0" fontId="37" fillId="0" borderId="3" xfId="2" applyFont="1" applyBorder="1" applyAlignment="1">
      <alignment horizontal="center" vertical="center"/>
    </xf>
    <xf numFmtId="2" fontId="17" fillId="0" borderId="1" xfId="2" applyNumberFormat="1" applyFont="1" applyBorder="1" applyAlignment="1">
      <alignment horizontal="center" vertical="center"/>
    </xf>
    <xf numFmtId="0" fontId="38" fillId="0" borderId="1" xfId="2" applyFont="1" applyBorder="1" applyAlignment="1">
      <alignment horizontal="center" vertical="center" wrapText="1"/>
    </xf>
    <xf numFmtId="0" fontId="38" fillId="0" borderId="3" xfId="2" applyFont="1" applyBorder="1" applyAlignment="1">
      <alignment horizontal="center" vertical="center" wrapText="1"/>
    </xf>
    <xf numFmtId="1" fontId="38" fillId="0" borderId="4" xfId="2" applyNumberFormat="1" applyFont="1" applyBorder="1" applyAlignment="1">
      <alignment horizontal="center" vertical="center" wrapText="1"/>
    </xf>
    <xf numFmtId="0" fontId="38" fillId="0" borderId="4" xfId="2" applyFont="1" applyBorder="1" applyAlignment="1">
      <alignment horizontal="center" vertical="center" wrapText="1"/>
    </xf>
    <xf numFmtId="0" fontId="5" fillId="0" borderId="4" xfId="2" applyFont="1" applyBorder="1" applyAlignment="1">
      <alignment horizontal="left" vertical="center"/>
    </xf>
    <xf numFmtId="0" fontId="5" fillId="0" borderId="22" xfId="2" applyFont="1" applyBorder="1" applyAlignment="1">
      <alignment horizontal="left" vertical="center"/>
    </xf>
    <xf numFmtId="0" fontId="47" fillId="0" borderId="0" xfId="2" applyFont="1" applyBorder="1" applyAlignment="1">
      <alignment horizontal="center" vertical="center"/>
    </xf>
    <xf numFmtId="0" fontId="47" fillId="0" borderId="0" xfId="2" applyFont="1" applyBorder="1" applyAlignment="1">
      <alignment horizontal="center" vertical="center" wrapText="1"/>
    </xf>
    <xf numFmtId="0" fontId="23" fillId="0" borderId="0" xfId="2" applyFont="1" applyBorder="1" applyAlignment="1">
      <alignment horizontal="center"/>
    </xf>
    <xf numFmtId="0" fontId="46" fillId="0" borderId="66" xfId="2" applyFont="1" applyBorder="1" applyAlignment="1">
      <alignment horizontal="right" vertical="center"/>
    </xf>
    <xf numFmtId="0" fontId="46" fillId="0" borderId="67" xfId="2" applyFont="1" applyBorder="1" applyAlignment="1">
      <alignment horizontal="right" vertical="center"/>
    </xf>
    <xf numFmtId="0" fontId="60" fillId="0" borderId="0" xfId="2" applyFont="1" applyBorder="1" applyAlignment="1">
      <alignment horizontal="center" vertical="center"/>
    </xf>
    <xf numFmtId="0" fontId="55" fillId="0" borderId="78" xfId="2" applyFont="1" applyBorder="1" applyAlignment="1">
      <alignment horizontal="center" vertical="top" wrapText="1"/>
    </xf>
    <xf numFmtId="0" fontId="55" fillId="0" borderId="79" xfId="2" applyFont="1" applyBorder="1" applyAlignment="1">
      <alignment horizontal="center" vertical="top" wrapText="1"/>
    </xf>
    <xf numFmtId="0" fontId="55" fillId="0" borderId="80" xfId="2" applyFont="1" applyBorder="1" applyAlignment="1">
      <alignment horizontal="center" vertical="top" wrapText="1"/>
    </xf>
    <xf numFmtId="0" fontId="55" fillId="0" borderId="91" xfId="2" applyFont="1" applyBorder="1" applyAlignment="1">
      <alignment horizontal="center" vertical="top" wrapText="1"/>
    </xf>
    <xf numFmtId="0" fontId="55" fillId="0" borderId="0" xfId="2" applyFont="1" applyBorder="1" applyAlignment="1">
      <alignment horizontal="center" vertical="top" wrapText="1"/>
    </xf>
    <xf numFmtId="0" fontId="55" fillId="0" borderId="90" xfId="2" applyFont="1" applyBorder="1" applyAlignment="1">
      <alignment horizontal="center" vertical="top" wrapText="1"/>
    </xf>
    <xf numFmtId="0" fontId="59" fillId="0" borderId="64" xfId="2" applyFont="1" applyBorder="1" applyAlignment="1">
      <alignment horizontal="center" vertical="center"/>
    </xf>
    <xf numFmtId="0" fontId="59" fillId="0" borderId="65" xfId="2" applyFont="1" applyBorder="1" applyAlignment="1">
      <alignment horizontal="center" vertical="center"/>
    </xf>
    <xf numFmtId="0" fontId="59" fillId="0" borderId="25" xfId="2" applyFont="1" applyBorder="1" applyAlignment="1">
      <alignment horizontal="center" vertical="center"/>
    </xf>
    <xf numFmtId="2" fontId="47" fillId="0" borderId="1" xfId="0" applyNumberFormat="1" applyFont="1" applyBorder="1" applyAlignment="1">
      <alignment horizontal="left" vertical="center"/>
    </xf>
    <xf numFmtId="2" fontId="47" fillId="0" borderId="2" xfId="0" applyNumberFormat="1" applyFont="1" applyBorder="1" applyAlignment="1">
      <alignment horizontal="left" vertical="center"/>
    </xf>
    <xf numFmtId="2" fontId="47" fillId="0" borderId="3" xfId="0" applyNumberFormat="1" applyFont="1" applyBorder="1" applyAlignment="1">
      <alignment horizontal="left" vertical="center"/>
    </xf>
    <xf numFmtId="2" fontId="47" fillId="0" borderId="1" xfId="0" applyNumberFormat="1" applyFont="1" applyBorder="1" applyAlignment="1">
      <alignment horizontal="center" vertical="center"/>
    </xf>
    <xf numFmtId="2" fontId="47" fillId="0" borderId="2" xfId="0" applyNumberFormat="1" applyFont="1" applyBorder="1" applyAlignment="1">
      <alignment horizontal="center" vertical="center"/>
    </xf>
    <xf numFmtId="2" fontId="47" fillId="0" borderId="3" xfId="0" applyNumberFormat="1" applyFont="1" applyBorder="1" applyAlignment="1">
      <alignment horizontal="center" vertical="center"/>
    </xf>
    <xf numFmtId="2" fontId="5" fillId="0" borderId="4" xfId="0" applyNumberFormat="1" applyFont="1" applyBorder="1" applyAlignment="1">
      <alignment horizontal="center" vertical="center"/>
    </xf>
    <xf numFmtId="2" fontId="47" fillId="0" borderId="4"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47" fillId="0" borderId="1" xfId="2" applyFont="1" applyBorder="1" applyAlignment="1">
      <alignment horizontal="left"/>
    </xf>
    <xf numFmtId="0" fontId="47" fillId="0" borderId="2" xfId="2" applyFont="1" applyBorder="1" applyAlignment="1">
      <alignment horizontal="left"/>
    </xf>
    <xf numFmtId="0" fontId="47" fillId="0" borderId="3" xfId="2" applyFont="1" applyBorder="1" applyAlignment="1">
      <alignment horizontal="left"/>
    </xf>
    <xf numFmtId="0" fontId="59" fillId="0" borderId="105" xfId="2" applyFont="1" applyBorder="1" applyAlignment="1">
      <alignment horizontal="center" vertical="center"/>
    </xf>
    <xf numFmtId="0" fontId="59" fillId="0" borderId="106" xfId="2" applyFont="1" applyBorder="1" applyAlignment="1">
      <alignment horizontal="center" vertical="center"/>
    </xf>
    <xf numFmtId="0" fontId="5" fillId="0" borderId="12"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1" xfId="2" applyFont="1" applyBorder="1" applyAlignment="1">
      <alignment horizontal="center" vertical="center" wrapText="1"/>
    </xf>
    <xf numFmtId="0" fontId="47" fillId="0" borderId="4" xfId="2" applyFont="1" applyBorder="1" applyAlignment="1">
      <alignment horizontal="center" vertical="center" wrapText="1"/>
    </xf>
    <xf numFmtId="0" fontId="18" fillId="0" borderId="2" xfId="0" applyFont="1" applyBorder="1" applyAlignment="1">
      <alignment horizontal="center"/>
    </xf>
    <xf numFmtId="0" fontId="0" fillId="0" borderId="3" xfId="0" applyBorder="1" applyAlignment="1">
      <alignment horizontal="center"/>
    </xf>
    <xf numFmtId="0" fontId="194" fillId="0" borderId="145" xfId="0" applyFont="1" applyBorder="1" applyAlignment="1">
      <alignment horizontal="center" vertical="center"/>
    </xf>
    <xf numFmtId="0" fontId="194" fillId="0" borderId="146" xfId="0" applyFont="1" applyBorder="1" applyAlignment="1">
      <alignment horizontal="center" vertical="center"/>
    </xf>
    <xf numFmtId="0" fontId="197" fillId="0" borderId="148" xfId="0" applyFont="1" applyBorder="1" applyAlignment="1">
      <alignment horizontal="center" vertical="center"/>
    </xf>
    <xf numFmtId="0" fontId="197" fillId="0" borderId="149" xfId="0" applyFont="1" applyBorder="1" applyAlignment="1">
      <alignment horizontal="center" vertical="center"/>
    </xf>
    <xf numFmtId="0" fontId="187" fillId="0" borderId="140" xfId="0" applyFont="1" applyBorder="1" applyAlignment="1">
      <alignment horizontal="center" vertical="center"/>
    </xf>
    <xf numFmtId="0" fontId="187" fillId="0" borderId="141" xfId="0" applyFont="1" applyBorder="1" applyAlignment="1">
      <alignment horizontal="center" vertical="center"/>
    </xf>
    <xf numFmtId="0" fontId="187" fillId="0" borderId="142" xfId="0" applyFont="1" applyBorder="1" applyAlignment="1">
      <alignment horizontal="center" vertical="center"/>
    </xf>
    <xf numFmtId="0" fontId="189" fillId="0" borderId="0" xfId="0" applyFont="1" applyBorder="1" applyAlignment="1">
      <alignment horizontal="center" vertical="center"/>
    </xf>
    <xf numFmtId="0" fontId="192" fillId="0" borderId="0" xfId="0" applyFont="1" applyBorder="1" applyAlignment="1">
      <alignment horizontal="center" vertical="center"/>
    </xf>
    <xf numFmtId="0" fontId="193" fillId="0" borderId="101" xfId="0" applyFont="1" applyBorder="1" applyAlignment="1">
      <alignment horizontal="center" vertical="center"/>
    </xf>
    <xf numFmtId="0" fontId="194" fillId="0" borderId="101" xfId="0" applyFont="1" applyBorder="1" applyAlignment="1">
      <alignment horizontal="center" vertical="center"/>
    </xf>
    <xf numFmtId="0" fontId="195" fillId="0" borderId="140" xfId="0" applyFont="1" applyBorder="1" applyAlignment="1">
      <alignment horizontal="center" vertical="center"/>
    </xf>
    <xf numFmtId="0" fontId="195" fillId="0" borderId="141" xfId="0" applyFont="1" applyBorder="1" applyAlignment="1">
      <alignment horizontal="center" vertical="center"/>
    </xf>
    <xf numFmtId="0" fontId="0" fillId="0" borderId="0" xfId="0" applyBorder="1" applyAlignment="1">
      <alignment horizontal="center" vertical="center"/>
    </xf>
    <xf numFmtId="0" fontId="114" fillId="3" borderId="0" xfId="0" applyFont="1" applyFill="1" applyAlignment="1">
      <alignment horizontal="center"/>
    </xf>
    <xf numFmtId="0" fontId="113" fillId="0" borderId="0" xfId="0" applyFont="1" applyAlignment="1">
      <alignment horizontal="center"/>
    </xf>
    <xf numFmtId="0" fontId="48" fillId="49" borderId="0" xfId="0" applyFont="1" applyFill="1" applyAlignment="1">
      <alignment horizontal="center"/>
    </xf>
    <xf numFmtId="0" fontId="66" fillId="0" borderId="8" xfId="0" applyFont="1" applyBorder="1" applyAlignment="1">
      <alignment horizontal="center"/>
    </xf>
    <xf numFmtId="0" fontId="66" fillId="0" borderId="12" xfId="0" applyFont="1" applyBorder="1" applyAlignment="1">
      <alignment horizontal="center"/>
    </xf>
    <xf numFmtId="0" fontId="66" fillId="0" borderId="10" xfId="0" applyFont="1" applyBorder="1" applyAlignment="1">
      <alignment horizontal="center"/>
    </xf>
    <xf numFmtId="0" fontId="112" fillId="0" borderId="9" xfId="0" applyFont="1" applyBorder="1" applyAlignment="1">
      <alignment horizontal="center"/>
    </xf>
    <xf numFmtId="0" fontId="112" fillId="0" borderId="0" xfId="0" applyFont="1" applyBorder="1" applyAlignment="1">
      <alignment horizontal="center"/>
    </xf>
    <xf numFmtId="0" fontId="112" fillId="0" borderId="17" xfId="0" applyFont="1" applyBorder="1" applyAlignment="1">
      <alignment horizontal="center"/>
    </xf>
    <xf numFmtId="0" fontId="0" fillId="0" borderId="9" xfId="0" applyBorder="1" applyAlignment="1">
      <alignment horizontal="center" vertical="center"/>
    </xf>
    <xf numFmtId="0" fontId="0" fillId="0" borderId="0" xfId="0" applyBorder="1" applyAlignment="1" applyProtection="1">
      <alignment horizontal="center"/>
      <protection locked="0"/>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8" fillId="0" borderId="4" xfId="0" applyFont="1" applyBorder="1" applyAlignment="1">
      <alignment horizontal="center" vertical="center" wrapText="1"/>
    </xf>
    <xf numFmtId="165" fontId="19" fillId="14" borderId="9" xfId="0" applyNumberFormat="1" applyFont="1" applyFill="1" applyBorder="1" applyAlignment="1">
      <alignment horizontal="center" vertical="center" wrapText="1"/>
    </xf>
    <xf numFmtId="165" fontId="19" fillId="14" borderId="17" xfId="0" applyNumberFormat="1" applyFont="1" applyFill="1" applyBorder="1" applyAlignment="1">
      <alignment horizontal="center" vertical="center" wrapText="1"/>
    </xf>
    <xf numFmtId="165" fontId="19" fillId="0" borderId="1" xfId="0" applyNumberFormat="1" applyFont="1" applyFill="1" applyBorder="1" applyAlignment="1">
      <alignment horizontal="center" vertical="center" wrapText="1"/>
    </xf>
    <xf numFmtId="165" fontId="19" fillId="0" borderId="3" xfId="0" applyNumberFormat="1" applyFont="1" applyFill="1" applyBorder="1" applyAlignment="1">
      <alignment horizontal="center" vertical="center" wrapText="1"/>
    </xf>
    <xf numFmtId="0" fontId="24" fillId="0" borderId="6" xfId="0" applyFont="1" applyBorder="1" applyAlignment="1">
      <alignment horizontal="left" vertical="center" wrapText="1"/>
    </xf>
    <xf numFmtId="165" fontId="19" fillId="14" borderId="13" xfId="0" applyNumberFormat="1" applyFont="1" applyFill="1" applyBorder="1" applyAlignment="1">
      <alignment horizontal="center" vertical="center" wrapText="1"/>
    </xf>
    <xf numFmtId="165" fontId="19" fillId="14" borderId="11" xfId="0" applyNumberFormat="1" applyFont="1" applyFill="1" applyBorder="1" applyAlignment="1">
      <alignment horizontal="center" vertical="center" wrapText="1"/>
    </xf>
    <xf numFmtId="0" fontId="22" fillId="0" borderId="6" xfId="0" applyFont="1" applyBorder="1" applyAlignment="1">
      <alignment horizontal="center" vertical="center" wrapText="1"/>
    </xf>
    <xf numFmtId="165" fontId="19" fillId="0" borderId="4" xfId="0"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0" fontId="8" fillId="0" borderId="4" xfId="0" applyFont="1" applyBorder="1" applyAlignment="1">
      <alignment horizontal="left" vertical="center" wrapText="1"/>
    </xf>
    <xf numFmtId="0" fontId="14" fillId="0" borderId="4" xfId="0" applyFont="1" applyBorder="1" applyAlignment="1">
      <alignment horizontal="center" wrapText="1"/>
    </xf>
    <xf numFmtId="14" fontId="8" fillId="2" borderId="4" xfId="0" applyNumberFormat="1"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hidden="1"/>
    </xf>
    <xf numFmtId="0" fontId="22" fillId="0" borderId="0"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2" xfId="0" applyFont="1" applyFill="1" applyBorder="1" applyAlignment="1">
      <alignment horizontal="left" vertical="center" wrapText="1"/>
    </xf>
    <xf numFmtId="165" fontId="28" fillId="13" borderId="8" xfId="0" applyNumberFormat="1" applyFont="1" applyFill="1" applyBorder="1" applyAlignment="1">
      <alignment horizontal="center" vertical="center" wrapText="1"/>
    </xf>
    <xf numFmtId="165" fontId="28" fillId="13" borderId="10" xfId="0" applyNumberFormat="1" applyFont="1" applyFill="1" applyBorder="1" applyAlignment="1">
      <alignment horizontal="center" vertical="center" wrapText="1"/>
    </xf>
    <xf numFmtId="165" fontId="28" fillId="13" borderId="9" xfId="0" applyNumberFormat="1" applyFont="1" applyFill="1" applyBorder="1" applyAlignment="1">
      <alignment horizontal="center" vertical="center" wrapText="1"/>
    </xf>
    <xf numFmtId="165" fontId="28" fillId="13" borderId="17" xfId="0" applyNumberFormat="1" applyFont="1" applyFill="1" applyBorder="1" applyAlignment="1">
      <alignment horizontal="center" vertical="center" wrapText="1"/>
    </xf>
    <xf numFmtId="165" fontId="28" fillId="13" borderId="13" xfId="0" applyNumberFormat="1" applyFont="1" applyFill="1" applyBorder="1" applyAlignment="1">
      <alignment horizontal="center" vertical="center" wrapText="1"/>
    </xf>
    <xf numFmtId="165" fontId="28" fillId="13" borderId="11" xfId="0" applyNumberFormat="1" applyFont="1" applyFill="1" applyBorder="1" applyAlignment="1">
      <alignment horizontal="center" vertical="center" wrapText="1"/>
    </xf>
    <xf numFmtId="0" fontId="24" fillId="2" borderId="4" xfId="0" applyFont="1" applyFill="1" applyBorder="1" applyAlignment="1">
      <alignment horizontal="left" vertical="center" wrapText="1"/>
    </xf>
    <xf numFmtId="165" fontId="20" fillId="0" borderId="1" xfId="0" applyNumberFormat="1" applyFont="1" applyFill="1" applyBorder="1" applyAlignment="1">
      <alignment horizontal="right" vertical="center" wrapText="1"/>
    </xf>
    <xf numFmtId="165" fontId="20" fillId="0" borderId="3" xfId="0" applyNumberFormat="1" applyFont="1" applyFill="1" applyBorder="1" applyAlignment="1">
      <alignment horizontal="right" vertical="center" wrapText="1"/>
    </xf>
    <xf numFmtId="0" fontId="19" fillId="0" borderId="28" xfId="0" applyFont="1" applyBorder="1" applyAlignment="1">
      <alignment horizontal="left" vertical="center" wrapText="1"/>
    </xf>
    <xf numFmtId="0" fontId="19" fillId="0" borderId="14" xfId="0" applyFont="1" applyBorder="1" applyAlignment="1">
      <alignment horizontal="left" vertical="center" wrapText="1"/>
    </xf>
    <xf numFmtId="0" fontId="19" fillId="0" borderId="11" xfId="0" applyFont="1" applyBorder="1" applyAlignment="1">
      <alignment horizontal="left" vertical="center" wrapText="1"/>
    </xf>
    <xf numFmtId="0" fontId="26" fillId="12" borderId="4" xfId="0" applyFont="1" applyFill="1" applyBorder="1" applyAlignment="1">
      <alignment horizontal="center" vertical="center" wrapText="1"/>
    </xf>
    <xf numFmtId="0" fontId="24" fillId="0" borderId="4" xfId="0" applyFont="1" applyBorder="1" applyAlignment="1">
      <alignment horizontal="left" vertical="center" wrapText="1"/>
    </xf>
    <xf numFmtId="165" fontId="20" fillId="0" borderId="4" xfId="0" applyNumberFormat="1" applyFont="1" applyFill="1" applyBorder="1" applyAlignment="1">
      <alignment horizontal="right" vertical="center" wrapText="1"/>
    </xf>
    <xf numFmtId="165" fontId="20" fillId="41" borderId="4" xfId="0" applyNumberFormat="1" applyFont="1" applyFill="1" applyBorder="1" applyAlignment="1" applyProtection="1">
      <alignment horizontal="right" vertical="center" wrapText="1"/>
      <protection locked="0"/>
    </xf>
    <xf numFmtId="165" fontId="20" fillId="13" borderId="13" xfId="0" applyNumberFormat="1" applyFont="1" applyFill="1" applyBorder="1" applyAlignment="1">
      <alignment horizontal="center" vertical="top" wrapText="1"/>
    </xf>
    <xf numFmtId="165" fontId="20" fillId="13" borderId="11" xfId="0" applyNumberFormat="1" applyFont="1" applyFill="1" applyBorder="1" applyAlignment="1">
      <alignment horizontal="center" vertical="top" wrapText="1"/>
    </xf>
    <xf numFmtId="165" fontId="20" fillId="0" borderId="1" xfId="0" applyNumberFormat="1" applyFont="1" applyFill="1" applyBorder="1" applyAlignment="1">
      <alignment horizontal="center" vertical="center" wrapText="1"/>
    </xf>
    <xf numFmtId="165" fontId="20" fillId="0" borderId="3" xfId="0" applyNumberFormat="1"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2" xfId="0" applyFont="1" applyBorder="1" applyAlignment="1">
      <alignment horizontal="center" vertical="center" wrapText="1"/>
    </xf>
    <xf numFmtId="0" fontId="46" fillId="0" borderId="24" xfId="2" applyFont="1" applyBorder="1" applyAlignment="1">
      <alignment horizontal="center" vertical="center"/>
    </xf>
    <xf numFmtId="0" fontId="46" fillId="0" borderId="12" xfId="2" applyFont="1" applyBorder="1" applyAlignment="1">
      <alignment horizontal="center" vertical="center"/>
    </xf>
    <xf numFmtId="165" fontId="19" fillId="0" borderId="4" xfId="0" applyNumberFormat="1" applyFont="1" applyFill="1" applyBorder="1" applyAlignment="1">
      <alignment horizontal="righ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24" fillId="15" borderId="4" xfId="0" applyFont="1" applyFill="1" applyBorder="1" applyAlignment="1">
      <alignment horizontal="left" vertical="center" wrapText="1"/>
    </xf>
    <xf numFmtId="0" fontId="26" fillId="12" borderId="1" xfId="0" applyFont="1" applyFill="1" applyBorder="1" applyAlignment="1">
      <alignment horizontal="center" vertical="center" wrapText="1"/>
    </xf>
    <xf numFmtId="0" fontId="26" fillId="12" borderId="3" xfId="0" applyFont="1" applyFill="1" applyBorder="1" applyAlignment="1">
      <alignment horizontal="center" vertical="center" wrapText="1"/>
    </xf>
    <xf numFmtId="0" fontId="0" fillId="0" borderId="4" xfId="0" applyBorder="1" applyAlignment="1">
      <alignment horizontal="center" vertical="center"/>
    </xf>
    <xf numFmtId="0" fontId="22" fillId="0" borderId="12" xfId="0" applyFont="1" applyBorder="1" applyAlignment="1">
      <alignment horizontal="left" vertical="center" wrapText="1"/>
    </xf>
    <xf numFmtId="0" fontId="22" fillId="0" borderId="10" xfId="0" applyFont="1" applyBorder="1" applyAlignment="1">
      <alignment horizontal="left" vertical="center" wrapText="1"/>
    </xf>
    <xf numFmtId="0" fontId="51" fillId="0" borderId="4" xfId="0" applyFont="1" applyBorder="1" applyAlignment="1" applyProtection="1">
      <alignment horizontal="left" vertical="center"/>
      <protection hidden="1"/>
    </xf>
    <xf numFmtId="0" fontId="51" fillId="0" borderId="2" xfId="0" applyFont="1" applyBorder="1" applyAlignment="1" applyProtection="1">
      <alignment horizontal="left" vertical="center"/>
      <protection hidden="1"/>
    </xf>
    <xf numFmtId="0" fontId="51" fillId="0" borderId="3" xfId="0" applyFont="1" applyBorder="1" applyAlignment="1" applyProtection="1">
      <alignment horizontal="left" vertical="center"/>
      <protection hidden="1"/>
    </xf>
    <xf numFmtId="165" fontId="20" fillId="0" borderId="4" xfId="0" applyNumberFormat="1" applyFont="1" applyFill="1" applyBorder="1" applyAlignment="1">
      <alignment horizontal="center" vertical="center" wrapText="1"/>
    </xf>
    <xf numFmtId="0" fontId="24" fillId="15" borderId="15" xfId="0" applyFont="1" applyFill="1" applyBorder="1" applyAlignment="1">
      <alignment horizontal="left" vertical="center" wrapText="1"/>
    </xf>
    <xf numFmtId="0" fontId="24" fillId="15" borderId="2" xfId="0" applyFont="1" applyFill="1" applyBorder="1" applyAlignment="1">
      <alignment horizontal="left" vertical="center" wrapText="1"/>
    </xf>
    <xf numFmtId="0" fontId="24" fillId="15" borderId="12" xfId="0" applyFont="1" applyFill="1" applyBorder="1" applyAlignment="1">
      <alignment horizontal="left" vertical="center" wrapText="1"/>
    </xf>
    <xf numFmtId="0" fontId="14" fillId="15" borderId="4"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20" xfId="0" applyFont="1" applyFill="1" applyBorder="1" applyAlignment="1">
      <alignment horizontal="center" vertical="center" wrapText="1"/>
    </xf>
    <xf numFmtId="165" fontId="24" fillId="0" borderId="3" xfId="0" applyNumberFormat="1" applyFont="1" applyFill="1" applyBorder="1" applyAlignment="1">
      <alignment horizontal="right" vertical="center" wrapText="1"/>
    </xf>
    <xf numFmtId="165" fontId="24" fillId="0" borderId="4" xfId="0" applyNumberFormat="1" applyFont="1" applyFill="1" applyBorder="1" applyAlignment="1">
      <alignment horizontal="right" vertical="center" wrapText="1"/>
    </xf>
    <xf numFmtId="165" fontId="28" fillId="13" borderId="4" xfId="0" applyNumberFormat="1" applyFont="1" applyFill="1" applyBorder="1" applyAlignment="1">
      <alignment horizontal="right" vertical="center" wrapText="1"/>
    </xf>
    <xf numFmtId="0" fontId="8" fillId="0" borderId="6" xfId="0" applyFont="1" applyBorder="1" applyAlignment="1">
      <alignment horizontal="center" vertical="center" wrapText="1"/>
    </xf>
    <xf numFmtId="0" fontId="20" fillId="0" borderId="4" xfId="0" applyFont="1" applyBorder="1" applyAlignment="1">
      <alignment horizontal="center" vertical="center" wrapText="1"/>
    </xf>
    <xf numFmtId="165" fontId="22" fillId="0" borderId="4" xfId="0" applyNumberFormat="1" applyFont="1" applyFill="1" applyBorder="1" applyAlignment="1">
      <alignment horizontal="right" vertical="center" wrapText="1"/>
    </xf>
    <xf numFmtId="165" fontId="29" fillId="14" borderId="8" xfId="0" applyNumberFormat="1" applyFont="1" applyFill="1" applyBorder="1" applyAlignment="1">
      <alignment horizontal="center" vertical="center" wrapText="1"/>
    </xf>
    <xf numFmtId="165" fontId="29" fillId="14" borderId="10" xfId="0" applyNumberFormat="1" applyFont="1" applyFill="1" applyBorder="1" applyAlignment="1">
      <alignment horizontal="center" vertical="center" wrapText="1"/>
    </xf>
    <xf numFmtId="165" fontId="29" fillId="14" borderId="9" xfId="0" applyNumberFormat="1" applyFont="1" applyFill="1" applyBorder="1" applyAlignment="1">
      <alignment horizontal="center" vertical="center" wrapText="1"/>
    </xf>
    <xf numFmtId="165" fontId="29" fillId="14" borderId="17" xfId="0" applyNumberFormat="1" applyFont="1" applyFill="1" applyBorder="1" applyAlignment="1">
      <alignment horizontal="center" vertical="center" wrapText="1"/>
    </xf>
    <xf numFmtId="165" fontId="22" fillId="0" borderId="1" xfId="0" applyNumberFormat="1" applyFont="1" applyFill="1" applyBorder="1" applyAlignment="1">
      <alignment horizontal="right" vertical="center" wrapText="1"/>
    </xf>
    <xf numFmtId="165" fontId="19" fillId="13" borderId="4" xfId="0" applyNumberFormat="1" applyFont="1" applyFill="1" applyBorder="1" applyAlignment="1">
      <alignment horizontal="right" vertical="center" wrapText="1"/>
    </xf>
    <xf numFmtId="0" fontId="24" fillId="0" borderId="16" xfId="0" applyFont="1" applyBorder="1" applyAlignment="1">
      <alignment horizontal="left" vertical="center" wrapText="1"/>
    </xf>
    <xf numFmtId="0" fontId="24" fillId="0" borderId="0" xfId="0" applyFont="1" applyBorder="1" applyAlignment="1">
      <alignment horizontal="left" vertical="center" wrapText="1"/>
    </xf>
    <xf numFmtId="165" fontId="19" fillId="14" borderId="4" xfId="0" applyNumberFormat="1" applyFont="1" applyFill="1" applyBorder="1" applyAlignment="1">
      <alignment horizontal="right" vertical="center" wrapText="1"/>
    </xf>
    <xf numFmtId="0" fontId="8" fillId="0" borderId="1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0" fillId="11" borderId="5" xfId="0" applyFont="1" applyFill="1" applyBorder="1" applyAlignment="1" applyProtection="1">
      <alignment horizontal="center" vertical="center" wrapText="1"/>
    </xf>
    <xf numFmtId="0" fontId="8" fillId="0" borderId="4" xfId="0" applyFont="1" applyBorder="1" applyAlignment="1">
      <alignment horizontal="right" vertical="center" wrapText="1"/>
    </xf>
    <xf numFmtId="165" fontId="22" fillId="11" borderId="3" xfId="0" applyNumberFormat="1" applyFont="1" applyFill="1" applyBorder="1" applyAlignment="1" applyProtection="1">
      <alignment horizontal="right" vertical="center" wrapText="1"/>
      <protection locked="0"/>
    </xf>
    <xf numFmtId="165" fontId="22" fillId="11" borderId="4" xfId="0" applyNumberFormat="1" applyFont="1" applyFill="1" applyBorder="1" applyAlignment="1" applyProtection="1">
      <alignment horizontal="right" vertical="center" wrapText="1"/>
      <protection locked="0"/>
    </xf>
    <xf numFmtId="165" fontId="22" fillId="13" borderId="12" xfId="0" applyNumberFormat="1" applyFont="1" applyFill="1" applyBorder="1" applyAlignment="1">
      <alignment horizontal="center" vertical="center" wrapText="1"/>
    </xf>
    <xf numFmtId="165" fontId="22" fillId="13" borderId="0" xfId="0" applyNumberFormat="1" applyFont="1" applyFill="1" applyBorder="1" applyAlignment="1">
      <alignment horizontal="center" vertical="center" wrapText="1"/>
    </xf>
    <xf numFmtId="165" fontId="22" fillId="13" borderId="9" xfId="0" applyNumberFormat="1" applyFont="1" applyFill="1" applyBorder="1" applyAlignment="1">
      <alignment horizontal="center" vertical="center" wrapText="1"/>
    </xf>
    <xf numFmtId="165" fontId="22" fillId="13" borderId="13" xfId="0" applyNumberFormat="1" applyFont="1" applyFill="1" applyBorder="1" applyAlignment="1">
      <alignment horizontal="center" vertical="center" wrapText="1"/>
    </xf>
    <xf numFmtId="165" fontId="22" fillId="13" borderId="14" xfId="0" applyNumberFormat="1"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4" xfId="0" applyFont="1" applyFill="1" applyBorder="1" applyAlignment="1">
      <alignment horizontal="center" vertical="center" wrapText="1"/>
    </xf>
    <xf numFmtId="165" fontId="24" fillId="13" borderId="3" xfId="0" applyNumberFormat="1" applyFont="1" applyFill="1" applyBorder="1" applyAlignment="1">
      <alignment horizontal="center" vertical="center" wrapText="1"/>
    </xf>
    <xf numFmtId="165" fontId="24" fillId="13" borderId="4" xfId="0" applyNumberFormat="1" applyFont="1" applyFill="1" applyBorder="1" applyAlignment="1">
      <alignment horizontal="center" vertical="center" wrapText="1"/>
    </xf>
    <xf numFmtId="165" fontId="19" fillId="14" borderId="1" xfId="0" applyNumberFormat="1" applyFont="1" applyFill="1" applyBorder="1" applyAlignment="1">
      <alignment horizontal="right" vertical="center" wrapText="1"/>
    </xf>
    <xf numFmtId="165" fontId="22" fillId="0" borderId="3" xfId="0" applyNumberFormat="1" applyFont="1" applyFill="1" applyBorder="1" applyAlignment="1">
      <alignment horizontal="right" vertical="center" wrapText="1"/>
    </xf>
    <xf numFmtId="0" fontId="22" fillId="0" borderId="4" xfId="0" applyFont="1" applyBorder="1" applyAlignment="1">
      <alignment horizontal="left" vertical="center" wrapText="1"/>
    </xf>
    <xf numFmtId="165" fontId="22" fillId="13" borderId="12" xfId="0" applyNumberFormat="1" applyFont="1" applyFill="1" applyBorder="1" applyAlignment="1">
      <alignment horizontal="right" vertical="center" wrapText="1"/>
    </xf>
    <xf numFmtId="165" fontId="22" fillId="13" borderId="10" xfId="0" applyNumberFormat="1" applyFont="1" applyFill="1" applyBorder="1" applyAlignment="1">
      <alignment horizontal="right" vertical="center" wrapText="1"/>
    </xf>
    <xf numFmtId="165" fontId="22" fillId="13" borderId="14" xfId="0" applyNumberFormat="1" applyFont="1" applyFill="1" applyBorder="1" applyAlignment="1">
      <alignment horizontal="right" vertical="center" wrapText="1"/>
    </xf>
    <xf numFmtId="165" fontId="22" fillId="13" borderId="11" xfId="0" applyNumberFormat="1" applyFont="1" applyFill="1" applyBorder="1" applyAlignment="1">
      <alignment horizontal="right" vertical="center" wrapText="1"/>
    </xf>
    <xf numFmtId="165" fontId="19" fillId="13" borderId="12" xfId="0" applyNumberFormat="1" applyFont="1" applyFill="1" applyBorder="1" applyAlignment="1">
      <alignment horizontal="center" vertical="center" wrapText="1"/>
    </xf>
    <xf numFmtId="165" fontId="19" fillId="13" borderId="10" xfId="0" applyNumberFormat="1" applyFont="1" applyFill="1" applyBorder="1" applyAlignment="1">
      <alignment horizontal="center" vertical="center" wrapText="1"/>
    </xf>
    <xf numFmtId="165" fontId="19" fillId="13" borderId="0" xfId="0" applyNumberFormat="1" applyFont="1" applyFill="1" applyBorder="1" applyAlignment="1">
      <alignment horizontal="center" vertical="center" wrapText="1"/>
    </xf>
    <xf numFmtId="165" fontId="19" fillId="13" borderId="17" xfId="0" applyNumberFormat="1" applyFont="1" applyFill="1" applyBorder="1" applyAlignment="1">
      <alignment horizontal="center" vertical="center" wrapText="1"/>
    </xf>
    <xf numFmtId="165" fontId="19" fillId="13" borderId="9" xfId="0" applyNumberFormat="1" applyFont="1" applyFill="1" applyBorder="1" applyAlignment="1">
      <alignment horizontal="center" vertical="center" wrapText="1"/>
    </xf>
    <xf numFmtId="165" fontId="19" fillId="13" borderId="13" xfId="0" applyNumberFormat="1" applyFont="1" applyFill="1" applyBorder="1" applyAlignment="1">
      <alignment horizontal="center" vertical="center" wrapText="1"/>
    </xf>
    <xf numFmtId="165" fontId="19" fillId="13" borderId="11" xfId="0" applyNumberFormat="1" applyFont="1" applyFill="1" applyBorder="1" applyAlignment="1">
      <alignment horizontal="center" vertical="center" wrapText="1"/>
    </xf>
    <xf numFmtId="165" fontId="19" fillId="0" borderId="1" xfId="0" applyNumberFormat="1" applyFont="1" applyFill="1" applyBorder="1" applyAlignment="1">
      <alignment horizontal="right" vertical="center" wrapText="1"/>
    </xf>
    <xf numFmtId="165" fontId="22" fillId="14" borderId="8" xfId="0" applyNumberFormat="1" applyFont="1" applyFill="1" applyBorder="1" applyAlignment="1">
      <alignment horizontal="right" vertical="center" wrapText="1"/>
    </xf>
    <xf numFmtId="165" fontId="22" fillId="14" borderId="10" xfId="0" applyNumberFormat="1" applyFont="1" applyFill="1" applyBorder="1" applyAlignment="1">
      <alignment horizontal="right" vertical="center" wrapText="1"/>
    </xf>
    <xf numFmtId="165" fontId="22" fillId="14" borderId="9" xfId="0" applyNumberFormat="1" applyFont="1" applyFill="1" applyBorder="1" applyAlignment="1">
      <alignment horizontal="right" vertical="center" wrapText="1"/>
    </xf>
    <xf numFmtId="165" fontId="22" fillId="14" borderId="17" xfId="0" applyNumberFormat="1" applyFont="1" applyFill="1" applyBorder="1" applyAlignment="1">
      <alignment horizontal="right" vertical="center" wrapText="1"/>
    </xf>
    <xf numFmtId="165" fontId="22" fillId="14" borderId="13" xfId="0" applyNumberFormat="1" applyFont="1" applyFill="1" applyBorder="1" applyAlignment="1">
      <alignment horizontal="right" vertical="center" wrapText="1"/>
    </xf>
    <xf numFmtId="165" fontId="22" fillId="14" borderId="11" xfId="0" applyNumberFormat="1" applyFont="1" applyFill="1" applyBorder="1" applyAlignment="1">
      <alignment horizontal="right"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24" fillId="0" borderId="14" xfId="0" applyFont="1" applyBorder="1" applyAlignment="1">
      <alignment horizontal="center" vertical="center" wrapText="1"/>
    </xf>
    <xf numFmtId="0" fontId="8" fillId="0" borderId="0" xfId="0" applyFont="1" applyFill="1" applyBorder="1" applyAlignment="1" applyProtection="1">
      <alignment horizontal="center" vertical="center" wrapText="1"/>
      <protection hidden="1"/>
    </xf>
    <xf numFmtId="0" fontId="8" fillId="0" borderId="0" xfId="0" applyFont="1" applyBorder="1" applyAlignment="1">
      <alignment horizontal="left" vertical="center" wrapText="1"/>
    </xf>
    <xf numFmtId="0" fontId="8" fillId="0" borderId="17"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1" xfId="0" applyFont="1" applyBorder="1" applyAlignment="1">
      <alignment horizontal="left" vertical="center" wrapText="1"/>
    </xf>
    <xf numFmtId="0" fontId="8" fillId="0" borderId="5" xfId="0" applyFont="1" applyBorder="1" applyAlignment="1">
      <alignment horizontal="center" vertical="center" wrapText="1"/>
    </xf>
    <xf numFmtId="0" fontId="8" fillId="0" borderId="5" xfId="0" applyFont="1" applyFill="1"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8" fillId="0" borderId="12"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7" xfId="0" applyFont="1" applyFill="1" applyBorder="1" applyAlignment="1">
      <alignment horizontal="left"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49" fontId="20" fillId="0" borderId="4" xfId="0" applyNumberFormat="1" applyFont="1" applyBorder="1" applyAlignment="1" applyProtection="1">
      <alignment horizontal="center" vertical="center" wrapText="1"/>
      <protection locked="0"/>
    </xf>
    <xf numFmtId="0" fontId="0" fillId="0" borderId="4" xfId="0" applyBorder="1" applyAlignment="1" applyProtection="1">
      <alignment horizontal="center"/>
      <protection locked="0"/>
    </xf>
    <xf numFmtId="49" fontId="27" fillId="0" borderId="4" xfId="0" applyNumberFormat="1" applyFont="1" applyBorder="1" applyAlignment="1" applyProtection="1">
      <alignment horizontal="center"/>
      <protection locked="0"/>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19" fillId="12" borderId="8" xfId="0" applyFont="1" applyFill="1" applyBorder="1" applyAlignment="1">
      <alignment horizontal="center" vertical="center" wrapText="1"/>
    </xf>
    <xf numFmtId="0" fontId="19" fillId="12" borderId="12" xfId="0" applyFont="1" applyFill="1" applyBorder="1" applyAlignment="1">
      <alignment horizontal="center" vertical="center" wrapText="1"/>
    </xf>
    <xf numFmtId="173" fontId="6" fillId="0" borderId="4" xfId="0" applyNumberFormat="1" applyFont="1" applyBorder="1" applyAlignment="1">
      <alignment horizontal="center" vertical="center" wrapText="1"/>
    </xf>
    <xf numFmtId="173" fontId="20" fillId="0" borderId="4" xfId="0" applyNumberFormat="1" applyFont="1" applyBorder="1" applyAlignment="1" applyProtection="1">
      <alignment horizontal="center" vertical="center" wrapText="1"/>
    </xf>
    <xf numFmtId="49" fontId="20" fillId="0" borderId="4" xfId="0" applyNumberFormat="1" applyFont="1" applyBorder="1" applyAlignment="1" applyProtection="1">
      <alignment horizontal="center" vertical="center" wrapText="1"/>
    </xf>
    <xf numFmtId="0" fontId="20" fillId="0" borderId="4" xfId="0" applyNumberFormat="1" applyFont="1" applyBorder="1" applyAlignment="1" applyProtection="1">
      <alignment horizontal="center" vertical="center" wrapText="1"/>
    </xf>
    <xf numFmtId="0" fontId="24" fillId="0" borderId="8"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12" borderId="4" xfId="0" applyFont="1" applyFill="1" applyBorder="1" applyAlignment="1">
      <alignment horizontal="center" vertical="center" wrapText="1"/>
    </xf>
    <xf numFmtId="173" fontId="19" fillId="0" borderId="4" xfId="0" applyNumberFormat="1" applyFont="1" applyBorder="1" applyAlignment="1">
      <alignment horizontal="center" vertical="center" wrapText="1"/>
    </xf>
    <xf numFmtId="49" fontId="20" fillId="0" borderId="4" xfId="0" applyNumberFormat="1" applyFont="1" applyFill="1" applyBorder="1" applyAlignment="1" applyProtection="1">
      <alignment horizontal="center" vertical="center" wrapText="1"/>
      <protection locked="0"/>
    </xf>
    <xf numFmtId="173" fontId="20" fillId="0" borderId="4" xfId="0" applyNumberFormat="1" applyFont="1" applyBorder="1" applyAlignment="1">
      <alignment horizontal="center"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22" fillId="0" borderId="4" xfId="0" applyFont="1" applyFill="1" applyBorder="1" applyAlignment="1">
      <alignment horizontal="center" vertical="center" wrapText="1"/>
    </xf>
    <xf numFmtId="0" fontId="22" fillId="0" borderId="4" xfId="0" applyFont="1" applyBorder="1" applyAlignment="1">
      <alignment horizontal="center" vertical="center" wrapText="1"/>
    </xf>
    <xf numFmtId="0" fontId="6" fillId="43" borderId="4" xfId="0" applyFont="1" applyFill="1" applyBorder="1" applyAlignment="1" applyProtection="1">
      <alignment horizontal="center" vertical="center" wrapText="1"/>
      <protection locked="0"/>
    </xf>
    <xf numFmtId="49" fontId="15" fillId="0" borderId="4" xfId="0" applyNumberFormat="1" applyFont="1" applyBorder="1" applyAlignment="1">
      <alignment horizontal="center" vertical="center" wrapText="1"/>
    </xf>
    <xf numFmtId="0" fontId="24" fillId="0" borderId="4" xfId="0" applyFont="1" applyBorder="1" applyAlignment="1">
      <alignment horizontal="center" vertical="center" wrapText="1"/>
    </xf>
    <xf numFmtId="49" fontId="24" fillId="0" borderId="4"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8" fillId="0" borderId="15" xfId="0" applyFont="1" applyFill="1" applyBorder="1" applyAlignment="1">
      <alignment horizontal="center" vertical="center" wrapText="1"/>
    </xf>
    <xf numFmtId="165" fontId="19" fillId="14" borderId="4" xfId="0" applyNumberFormat="1" applyFont="1" applyFill="1" applyBorder="1" applyAlignment="1">
      <alignment horizontal="center" vertical="center" wrapText="1"/>
    </xf>
    <xf numFmtId="165" fontId="20" fillId="0" borderId="4" xfId="0" applyNumberFormat="1" applyFont="1" applyFill="1" applyBorder="1" applyAlignment="1">
      <alignment horizontal="right" wrapText="1"/>
    </xf>
    <xf numFmtId="165" fontId="20" fillId="0" borderId="1" xfId="0" applyNumberFormat="1" applyFont="1" applyFill="1" applyBorder="1" applyAlignment="1" applyProtection="1">
      <alignment horizontal="center" vertical="center" wrapText="1"/>
      <protection locked="0"/>
    </xf>
    <xf numFmtId="165" fontId="20" fillId="0" borderId="3" xfId="0" applyNumberFormat="1" applyFont="1" applyFill="1" applyBorder="1" applyAlignment="1" applyProtection="1">
      <alignment horizontal="center" vertical="center" wrapText="1"/>
      <protection locked="0"/>
    </xf>
    <xf numFmtId="0" fontId="51" fillId="0" borderId="14" xfId="0" applyFont="1" applyBorder="1" applyAlignment="1" applyProtection="1">
      <alignment horizontal="left" vertical="center"/>
      <protection hidden="1"/>
    </xf>
    <xf numFmtId="0" fontId="51" fillId="0" borderId="11" xfId="0" applyFont="1" applyBorder="1" applyAlignment="1" applyProtection="1">
      <alignment horizontal="left" vertical="center"/>
      <protection hidden="1"/>
    </xf>
    <xf numFmtId="0" fontId="14" fillId="0" borderId="4" xfId="0" applyFont="1" applyBorder="1" applyAlignment="1">
      <alignment horizontal="center" vertical="center" wrapText="1"/>
    </xf>
    <xf numFmtId="0" fontId="8" fillId="0" borderId="21"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24" fillId="0" borderId="4" xfId="0" applyFont="1" applyBorder="1" applyAlignment="1" applyProtection="1">
      <alignment horizontal="center" vertical="center" wrapText="1"/>
      <protection locked="0"/>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24"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8" fillId="12" borderId="15"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115" fillId="29" borderId="4" xfId="0" applyFont="1" applyFill="1" applyBorder="1" applyAlignment="1">
      <alignment horizontal="center" vertical="center"/>
    </xf>
    <xf numFmtId="0" fontId="113" fillId="34" borderId="8" xfId="0" applyFont="1" applyFill="1" applyBorder="1" applyAlignment="1" applyProtection="1">
      <alignment horizontal="center" vertical="center" wrapText="1"/>
      <protection hidden="1"/>
    </xf>
    <xf numFmtId="0" fontId="113" fillId="34" borderId="12" xfId="0" applyFont="1" applyFill="1" applyBorder="1" applyAlignment="1" applyProtection="1">
      <alignment horizontal="center" vertical="center" wrapText="1"/>
      <protection hidden="1"/>
    </xf>
    <xf numFmtId="0" fontId="113" fillId="34" borderId="10" xfId="0" applyFont="1" applyFill="1" applyBorder="1" applyAlignment="1" applyProtection="1">
      <alignment horizontal="center" vertical="center" wrapText="1"/>
      <protection hidden="1"/>
    </xf>
    <xf numFmtId="0" fontId="113" fillId="34" borderId="9" xfId="0" applyFont="1" applyFill="1" applyBorder="1" applyAlignment="1" applyProtection="1">
      <alignment horizontal="center" vertical="center" wrapText="1"/>
      <protection hidden="1"/>
    </xf>
    <xf numFmtId="0" fontId="113" fillId="34" borderId="0" xfId="0" applyFont="1" applyFill="1" applyBorder="1" applyAlignment="1" applyProtection="1">
      <alignment horizontal="center" vertical="center" wrapText="1"/>
      <protection hidden="1"/>
    </xf>
    <xf numFmtId="0" fontId="113" fillId="34" borderId="17" xfId="0" applyFont="1" applyFill="1" applyBorder="1" applyAlignment="1" applyProtection="1">
      <alignment horizontal="center" vertical="center" wrapText="1"/>
      <protection hidden="1"/>
    </xf>
    <xf numFmtId="0" fontId="113" fillId="34" borderId="112" xfId="0" applyFont="1" applyFill="1" applyBorder="1" applyAlignment="1" applyProtection="1">
      <alignment horizontal="center" vertical="center" wrapText="1"/>
      <protection hidden="1"/>
    </xf>
    <xf numFmtId="0" fontId="113" fillId="34" borderId="14" xfId="0" applyFont="1" applyFill="1" applyBorder="1" applyAlignment="1" applyProtection="1">
      <alignment horizontal="center" vertical="center" wrapText="1"/>
      <protection hidden="1"/>
    </xf>
    <xf numFmtId="0" fontId="113" fillId="34" borderId="113" xfId="0" applyFont="1" applyFill="1" applyBorder="1" applyAlignment="1" applyProtection="1">
      <alignment horizontal="center" vertical="center" wrapText="1"/>
      <protection hidden="1"/>
    </xf>
    <xf numFmtId="0" fontId="210" fillId="5" borderId="104" xfId="0" applyFont="1" applyFill="1" applyBorder="1" applyAlignment="1" applyProtection="1">
      <alignment horizontal="center" vertical="center" wrapText="1"/>
      <protection hidden="1"/>
    </xf>
    <xf numFmtId="0" fontId="210" fillId="5" borderId="102" xfId="0" applyFont="1" applyFill="1" applyBorder="1" applyAlignment="1" applyProtection="1">
      <alignment horizontal="center" vertical="center" wrapText="1"/>
      <protection hidden="1"/>
    </xf>
    <xf numFmtId="0" fontId="210" fillId="5" borderId="103" xfId="0" applyFont="1" applyFill="1" applyBorder="1" applyAlignment="1" applyProtection="1">
      <alignment horizontal="center" vertical="center" wrapText="1"/>
      <protection hidden="1"/>
    </xf>
    <xf numFmtId="0" fontId="210" fillId="28" borderId="104" xfId="0" applyFont="1" applyFill="1" applyBorder="1" applyAlignment="1" applyProtection="1">
      <alignment horizontal="center" vertical="center" wrapText="1"/>
      <protection locked="0"/>
    </xf>
    <xf numFmtId="0" fontId="210" fillId="28" borderId="102" xfId="0" applyFont="1" applyFill="1" applyBorder="1" applyAlignment="1" applyProtection="1">
      <alignment horizontal="center" vertical="center" wrapText="1"/>
      <protection locked="0"/>
    </xf>
    <xf numFmtId="0" fontId="210" fillId="28" borderId="103" xfId="0" applyFont="1" applyFill="1" applyBorder="1" applyAlignment="1" applyProtection="1">
      <alignment horizontal="center" vertical="center" wrapText="1"/>
      <protection locked="0"/>
    </xf>
    <xf numFmtId="0" fontId="210" fillId="22" borderId="104" xfId="0" applyFont="1" applyFill="1" applyBorder="1" applyAlignment="1" applyProtection="1">
      <alignment horizontal="center" vertical="center" wrapText="1"/>
      <protection locked="0"/>
    </xf>
    <xf numFmtId="0" fontId="210" fillId="22" borderId="102" xfId="0" applyFont="1" applyFill="1" applyBorder="1" applyAlignment="1" applyProtection="1">
      <alignment horizontal="center" vertical="center" wrapText="1"/>
      <protection locked="0"/>
    </xf>
    <xf numFmtId="0" fontId="210" fillId="22" borderId="103" xfId="0" applyFont="1" applyFill="1" applyBorder="1" applyAlignment="1" applyProtection="1">
      <alignment horizontal="center" vertical="center" wrapText="1"/>
      <protection locked="0"/>
    </xf>
    <xf numFmtId="0" fontId="210" fillId="51" borderId="104" xfId="0" applyFont="1" applyFill="1" applyBorder="1" applyAlignment="1" applyProtection="1">
      <alignment horizontal="center" vertical="center" wrapText="1"/>
      <protection locked="0"/>
    </xf>
    <xf numFmtId="0" fontId="210" fillId="51" borderId="102" xfId="0" applyFont="1" applyFill="1" applyBorder="1" applyAlignment="1" applyProtection="1">
      <alignment horizontal="center" vertical="center" wrapText="1"/>
      <protection locked="0"/>
    </xf>
    <xf numFmtId="0" fontId="210" fillId="51" borderId="103" xfId="0" applyFont="1" applyFill="1" applyBorder="1" applyAlignment="1" applyProtection="1">
      <alignment horizontal="center" vertical="center" wrapText="1"/>
      <protection locked="0"/>
    </xf>
    <xf numFmtId="0" fontId="113" fillId="51" borderId="136" xfId="0" applyFont="1" applyFill="1" applyBorder="1" applyAlignment="1" applyProtection="1">
      <alignment horizontal="center" vertical="center"/>
      <protection hidden="1"/>
    </xf>
    <xf numFmtId="0" fontId="113" fillId="51" borderId="173" xfId="0" applyFont="1" applyFill="1" applyBorder="1" applyAlignment="1" applyProtection="1">
      <alignment horizontal="center" vertical="center"/>
      <protection hidden="1"/>
    </xf>
    <xf numFmtId="0" fontId="113" fillId="4" borderId="14" xfId="0" applyFont="1" applyFill="1" applyBorder="1" applyAlignment="1" applyProtection="1">
      <alignment horizontal="center" vertical="center"/>
      <protection hidden="1"/>
    </xf>
    <xf numFmtId="0" fontId="113" fillId="4" borderId="113" xfId="0" applyFont="1" applyFill="1" applyBorder="1" applyAlignment="1" applyProtection="1">
      <alignment horizontal="center" vertical="center"/>
      <protection hidden="1"/>
    </xf>
    <xf numFmtId="173" fontId="210" fillId="3" borderId="104" xfId="0" applyNumberFormat="1" applyFont="1" applyFill="1" applyBorder="1" applyAlignment="1" applyProtection="1">
      <alignment horizontal="center" vertical="center"/>
      <protection hidden="1"/>
    </xf>
    <xf numFmtId="173" fontId="210" fillId="3" borderId="102" xfId="0" applyNumberFormat="1" applyFont="1" applyFill="1" applyBorder="1" applyAlignment="1" applyProtection="1">
      <alignment horizontal="center" vertical="center"/>
      <protection hidden="1"/>
    </xf>
    <xf numFmtId="173" fontId="210" fillId="3" borderId="103" xfId="0" applyNumberFormat="1" applyFont="1" applyFill="1" applyBorder="1" applyAlignment="1" applyProtection="1">
      <alignment horizontal="center" vertical="center"/>
      <protection hidden="1"/>
    </xf>
    <xf numFmtId="0" fontId="0" fillId="2" borderId="104" xfId="0" applyFill="1" applyBorder="1" applyAlignment="1" applyProtection="1">
      <alignment horizontal="center"/>
      <protection hidden="1"/>
    </xf>
    <xf numFmtId="0" fontId="0" fillId="2" borderId="102" xfId="0" applyFill="1" applyBorder="1" applyAlignment="1" applyProtection="1">
      <alignment horizontal="center"/>
      <protection hidden="1"/>
    </xf>
    <xf numFmtId="0" fontId="0" fillId="2" borderId="103" xfId="0" applyFill="1" applyBorder="1" applyAlignment="1" applyProtection="1">
      <alignment horizontal="center"/>
      <protection hidden="1"/>
    </xf>
    <xf numFmtId="0" fontId="211" fillId="0" borderId="131" xfId="0" applyFont="1" applyBorder="1" applyAlignment="1">
      <alignment horizontal="center" vertical="center"/>
    </xf>
    <xf numFmtId="0" fontId="211" fillId="0" borderId="129" xfId="0" applyFont="1" applyBorder="1" applyAlignment="1">
      <alignment horizontal="center" vertical="center"/>
    </xf>
    <xf numFmtId="0" fontId="211" fillId="0" borderId="132" xfId="0" applyFont="1" applyBorder="1" applyAlignment="1">
      <alignment horizontal="center" vertical="center"/>
    </xf>
    <xf numFmtId="0" fontId="113" fillId="34" borderId="4" xfId="0" applyFont="1" applyFill="1" applyBorder="1" applyAlignment="1" applyProtection="1">
      <alignment horizontal="center" vertical="center" wrapText="1"/>
      <protection hidden="1"/>
    </xf>
    <xf numFmtId="0" fontId="210" fillId="34" borderId="8" xfId="0" applyFont="1" applyFill="1" applyBorder="1" applyAlignment="1" applyProtection="1">
      <alignment horizontal="center" vertical="center" wrapText="1"/>
      <protection hidden="1"/>
    </xf>
    <xf numFmtId="0" fontId="210" fillId="34" borderId="12" xfId="0" applyFont="1" applyFill="1" applyBorder="1" applyAlignment="1" applyProtection="1">
      <alignment horizontal="center" vertical="center" wrapText="1"/>
      <protection hidden="1"/>
    </xf>
    <xf numFmtId="0" fontId="210" fillId="34" borderId="10" xfId="0" applyFont="1" applyFill="1" applyBorder="1" applyAlignment="1" applyProtection="1">
      <alignment horizontal="center" vertical="center" wrapText="1"/>
      <protection hidden="1"/>
    </xf>
    <xf numFmtId="0" fontId="210" fillId="34" borderId="9" xfId="0" applyFont="1" applyFill="1" applyBorder="1" applyAlignment="1" applyProtection="1">
      <alignment horizontal="center" vertical="center" wrapText="1"/>
      <protection hidden="1"/>
    </xf>
    <xf numFmtId="0" fontId="210" fillId="34" borderId="0" xfId="0" applyFont="1" applyFill="1" applyBorder="1" applyAlignment="1" applyProtection="1">
      <alignment horizontal="center" vertical="center" wrapText="1"/>
      <protection hidden="1"/>
    </xf>
    <xf numFmtId="0" fontId="210" fillId="34" borderId="17" xfId="0" applyFont="1" applyFill="1" applyBorder="1" applyAlignment="1" applyProtection="1">
      <alignment horizontal="center" vertical="center" wrapText="1"/>
      <protection hidden="1"/>
    </xf>
    <xf numFmtId="0" fontId="210" fillId="34" borderId="112" xfId="0" applyFont="1" applyFill="1" applyBorder="1" applyAlignment="1" applyProtection="1">
      <alignment horizontal="center" vertical="center" wrapText="1"/>
      <protection hidden="1"/>
    </xf>
    <xf numFmtId="0" fontId="210" fillId="34" borderId="14" xfId="0" applyFont="1" applyFill="1" applyBorder="1" applyAlignment="1" applyProtection="1">
      <alignment horizontal="center" vertical="center" wrapText="1"/>
      <protection hidden="1"/>
    </xf>
    <xf numFmtId="0" fontId="210" fillId="34" borderId="113" xfId="0" applyFont="1" applyFill="1" applyBorder="1" applyAlignment="1" applyProtection="1">
      <alignment horizontal="center" vertical="center" wrapText="1"/>
      <protection hidden="1"/>
    </xf>
    <xf numFmtId="0" fontId="210" fillId="75" borderId="104" xfId="0" applyFont="1" applyFill="1" applyBorder="1" applyAlignment="1" applyProtection="1">
      <alignment horizontal="center" vertical="center" wrapText="1"/>
      <protection locked="0"/>
    </xf>
    <xf numFmtId="0" fontId="210" fillId="75" borderId="102" xfId="0" applyFont="1" applyFill="1" applyBorder="1" applyAlignment="1" applyProtection="1">
      <alignment horizontal="center" vertical="center" wrapText="1"/>
      <protection locked="0"/>
    </xf>
    <xf numFmtId="0" fontId="210" fillId="75" borderId="103" xfId="0" applyFont="1" applyFill="1" applyBorder="1" applyAlignment="1" applyProtection="1">
      <alignment horizontal="center" vertical="center" wrapText="1"/>
      <protection locked="0"/>
    </xf>
    <xf numFmtId="2" fontId="212" fillId="0" borderId="134" xfId="0" applyNumberFormat="1" applyFont="1" applyBorder="1" applyAlignment="1" applyProtection="1">
      <alignment horizontal="center" vertical="center"/>
      <protection locked="0"/>
    </xf>
    <xf numFmtId="2" fontId="212" fillId="0" borderId="129" xfId="0" applyNumberFormat="1" applyFont="1" applyBorder="1" applyAlignment="1" applyProtection="1">
      <alignment horizontal="center" vertical="center"/>
      <protection locked="0"/>
    </xf>
    <xf numFmtId="2" fontId="212" fillId="0" borderId="132" xfId="0" applyNumberFormat="1" applyFont="1" applyBorder="1" applyAlignment="1" applyProtection="1">
      <alignment horizontal="center" vertical="center"/>
      <protection locked="0"/>
    </xf>
    <xf numFmtId="0" fontId="211" fillId="0" borderId="134" xfId="0" applyFont="1" applyBorder="1" applyAlignment="1">
      <alignment horizontal="center" vertical="center"/>
    </xf>
    <xf numFmtId="0" fontId="212" fillId="0" borderId="172" xfId="0" applyFont="1" applyBorder="1" applyAlignment="1">
      <alignment horizontal="center" vertical="center"/>
    </xf>
    <xf numFmtId="0" fontId="212" fillId="0" borderId="0" xfId="0" applyFont="1" applyBorder="1" applyAlignment="1">
      <alignment horizontal="center" vertical="center"/>
    </xf>
    <xf numFmtId="0" fontId="212" fillId="0" borderId="138" xfId="0" applyFont="1" applyBorder="1" applyAlignment="1">
      <alignment horizontal="center" vertical="center"/>
    </xf>
    <xf numFmtId="0" fontId="210" fillId="5" borderId="4" xfId="0" applyFont="1" applyFill="1" applyBorder="1" applyAlignment="1" applyProtection="1">
      <alignment horizontal="center" vertical="center"/>
      <protection hidden="1"/>
    </xf>
    <xf numFmtId="0" fontId="210" fillId="75" borderId="4" xfId="0" applyFont="1" applyFill="1" applyBorder="1" applyAlignment="1" applyProtection="1">
      <alignment horizontal="center" vertical="center"/>
      <protection locked="0"/>
    </xf>
    <xf numFmtId="0" fontId="210" fillId="22" borderId="4" xfId="0" applyFont="1" applyFill="1" applyBorder="1" applyAlignment="1" applyProtection="1">
      <alignment horizontal="center" vertical="center"/>
      <protection locked="0"/>
    </xf>
    <xf numFmtId="0" fontId="210" fillId="28" borderId="4" xfId="0" applyFont="1" applyFill="1" applyBorder="1" applyAlignment="1" applyProtection="1">
      <alignment horizontal="center" vertical="center"/>
      <protection locked="0"/>
    </xf>
    <xf numFmtId="0" fontId="210" fillId="51" borderId="4" xfId="0" applyFont="1" applyFill="1" applyBorder="1" applyAlignment="1" applyProtection="1">
      <alignment horizontal="center" vertical="center"/>
      <protection locked="0"/>
    </xf>
    <xf numFmtId="0" fontId="210" fillId="28" borderId="4" xfId="0" applyFont="1" applyFill="1" applyBorder="1" applyAlignment="1" applyProtection="1">
      <alignment horizontal="center" vertical="center"/>
      <protection hidden="1"/>
    </xf>
    <xf numFmtId="0" fontId="210" fillId="22" borderId="4" xfId="0" applyFont="1" applyFill="1" applyBorder="1" applyAlignment="1" applyProtection="1">
      <alignment horizontal="center" vertical="center"/>
      <protection hidden="1"/>
    </xf>
    <xf numFmtId="0" fontId="210" fillId="51" borderId="4" xfId="0" applyFont="1" applyFill="1" applyBorder="1" applyAlignment="1" applyProtection="1">
      <alignment horizontal="center" vertical="center"/>
      <protection hidden="1"/>
    </xf>
    <xf numFmtId="0" fontId="210" fillId="75" borderId="4" xfId="0" applyFont="1" applyFill="1" applyBorder="1" applyAlignment="1" applyProtection="1">
      <alignment horizontal="center" vertical="center"/>
      <protection hidden="1"/>
    </xf>
    <xf numFmtId="0" fontId="176" fillId="5" borderId="114" xfId="0" applyFont="1" applyFill="1" applyBorder="1" applyAlignment="1">
      <alignment horizontal="center" vertical="center"/>
    </xf>
    <xf numFmtId="0" fontId="176" fillId="5" borderId="115" xfId="0" applyFont="1" applyFill="1" applyBorder="1" applyAlignment="1">
      <alignment horizontal="center" vertical="center"/>
    </xf>
    <xf numFmtId="0" fontId="176" fillId="5" borderId="116" xfId="0" applyFont="1" applyFill="1" applyBorder="1" applyAlignment="1">
      <alignment horizontal="center" vertical="center"/>
    </xf>
    <xf numFmtId="0" fontId="211" fillId="0" borderId="122" xfId="0" applyFont="1" applyBorder="1" applyAlignment="1">
      <alignment horizontal="center" vertical="center"/>
    </xf>
    <xf numFmtId="0" fontId="211" fillId="0" borderId="123" xfId="0" applyFont="1" applyBorder="1" applyAlignment="1">
      <alignment horizontal="center" vertical="center"/>
    </xf>
    <xf numFmtId="0" fontId="211" fillId="0" borderId="124" xfId="0" applyFont="1" applyBorder="1" applyAlignment="1">
      <alignment horizontal="center" vertical="center"/>
    </xf>
    <xf numFmtId="0" fontId="212" fillId="0" borderId="125" xfId="0" applyFont="1" applyBorder="1" applyAlignment="1" applyProtection="1">
      <alignment horizontal="center" vertical="center" wrapText="1"/>
      <protection locked="0"/>
    </xf>
    <xf numFmtId="0" fontId="212" fillId="0" borderId="123" xfId="0" applyFont="1" applyBorder="1" applyAlignment="1" applyProtection="1">
      <alignment horizontal="center" vertical="center" wrapText="1"/>
      <protection locked="0"/>
    </xf>
    <xf numFmtId="0" fontId="212" fillId="0" borderId="126" xfId="0" applyFont="1" applyBorder="1" applyAlignment="1" applyProtection="1">
      <alignment horizontal="center" vertical="center" wrapText="1"/>
      <protection locked="0"/>
    </xf>
    <xf numFmtId="2" fontId="212" fillId="0" borderId="125" xfId="0" applyNumberFormat="1" applyFont="1" applyBorder="1" applyAlignment="1" applyProtection="1">
      <alignment horizontal="center" vertical="center" wrapText="1"/>
      <protection locked="0"/>
    </xf>
    <xf numFmtId="0" fontId="178" fillId="0" borderId="104" xfId="0" applyFont="1" applyBorder="1" applyAlignment="1">
      <alignment horizontal="center" vertical="center" wrapText="1"/>
    </xf>
    <xf numFmtId="0" fontId="178" fillId="0" borderId="103" xfId="0" applyFont="1" applyBorder="1" applyAlignment="1">
      <alignment horizontal="center" vertical="center" wrapText="1"/>
    </xf>
    <xf numFmtId="0" fontId="115" fillId="0" borderId="0" xfId="0" applyFont="1" applyAlignment="1">
      <alignment horizontal="center"/>
    </xf>
    <xf numFmtId="0" fontId="115" fillId="0" borderId="101" xfId="0" applyFont="1" applyBorder="1" applyAlignment="1">
      <alignment horizontal="center" vertical="center" wrapText="1"/>
    </xf>
    <xf numFmtId="0" fontId="178" fillId="0" borderId="101" xfId="0" applyFont="1" applyBorder="1" applyAlignment="1">
      <alignment horizontal="center" vertical="center" wrapText="1"/>
    </xf>
    <xf numFmtId="0" fontId="181" fillId="0" borderId="101" xfId="0" applyFont="1" applyBorder="1" applyAlignment="1">
      <alignment horizontal="center" vertical="center" wrapText="1"/>
    </xf>
    <xf numFmtId="0" fontId="115" fillId="0" borderId="0" xfId="0" applyFont="1" applyBorder="1" applyAlignment="1">
      <alignment horizontal="center" vertical="center" wrapText="1"/>
    </xf>
    <xf numFmtId="0" fontId="182" fillId="0" borderId="104" xfId="0" applyFont="1" applyBorder="1" applyAlignment="1">
      <alignment horizontal="left" vertical="center" wrapText="1"/>
    </xf>
    <xf numFmtId="0" fontId="182" fillId="0" borderId="102" xfId="0" applyFont="1" applyBorder="1" applyAlignment="1">
      <alignment horizontal="left" vertical="center" wrapText="1"/>
    </xf>
    <xf numFmtId="0" fontId="182" fillId="0" borderId="103" xfId="0" applyFont="1" applyBorder="1" applyAlignment="1">
      <alignment horizontal="left" vertical="center" wrapText="1"/>
    </xf>
    <xf numFmtId="0" fontId="178" fillId="0" borderId="101" xfId="0" applyFont="1" applyBorder="1" applyAlignment="1">
      <alignment horizontal="left" vertical="center" wrapText="1"/>
    </xf>
    <xf numFmtId="0" fontId="115" fillId="0" borderId="101" xfId="0" applyFont="1" applyBorder="1" applyAlignment="1" applyProtection="1">
      <alignment horizontal="center" vertical="center"/>
      <protection locked="0"/>
    </xf>
    <xf numFmtId="0" fontId="178" fillId="0" borderId="101" xfId="0" applyFont="1" applyBorder="1" applyAlignment="1">
      <alignment horizontal="center" vertical="center"/>
    </xf>
    <xf numFmtId="1" fontId="115" fillId="0" borderId="101" xfId="0" applyNumberFormat="1" applyFont="1" applyBorder="1" applyAlignment="1" applyProtection="1">
      <alignment horizontal="center"/>
      <protection locked="0"/>
    </xf>
    <xf numFmtId="0" fontId="115" fillId="0" borderId="101" xfId="0" applyFont="1" applyBorder="1" applyAlignment="1" applyProtection="1">
      <alignment horizontal="center"/>
      <protection locked="0"/>
    </xf>
    <xf numFmtId="0" fontId="180" fillId="0" borderId="0" xfId="0" applyFont="1" applyAlignment="1">
      <alignment horizontal="center" vertical="center"/>
    </xf>
    <xf numFmtId="0" fontId="178" fillId="0" borderId="14" xfId="0" applyFont="1" applyBorder="1" applyAlignment="1">
      <alignment horizontal="left" vertical="center" wrapText="1"/>
    </xf>
    <xf numFmtId="0" fontId="98" fillId="0" borderId="0" xfId="0" applyFont="1" applyAlignment="1">
      <alignment horizontal="center"/>
    </xf>
    <xf numFmtId="0" fontId="181" fillId="0" borderId="0" xfId="0" applyFont="1" applyAlignment="1">
      <alignment horizontal="left" vertical="center"/>
    </xf>
    <xf numFmtId="0" fontId="181" fillId="0" borderId="0" xfId="0" applyFont="1" applyAlignment="1">
      <alignment horizontal="center" vertical="center"/>
    </xf>
    <xf numFmtId="0" fontId="98" fillId="0" borderId="101" xfId="0" applyFont="1" applyBorder="1" applyAlignment="1">
      <alignment horizontal="center"/>
    </xf>
    <xf numFmtId="14" fontId="183" fillId="2" borderId="0" xfId="0" applyNumberFormat="1" applyFont="1" applyFill="1" applyAlignment="1" applyProtection="1">
      <alignment horizontal="center" vertical="center"/>
      <protection locked="0"/>
    </xf>
    <xf numFmtId="0" fontId="184" fillId="0" borderId="101" xfId="0" applyFont="1" applyBorder="1" applyAlignment="1" applyProtection="1">
      <alignment horizontal="center" vertical="center"/>
      <protection locked="0"/>
    </xf>
    <xf numFmtId="0" fontId="183" fillId="0" borderId="101" xfId="0" applyFont="1" applyBorder="1" applyAlignment="1">
      <alignment horizontal="center" vertical="center" wrapText="1"/>
    </xf>
    <xf numFmtId="0" fontId="178" fillId="0" borderId="101" xfId="0" applyFont="1" applyBorder="1" applyAlignment="1" applyProtection="1">
      <alignment horizontal="center" vertical="center" wrapText="1"/>
      <protection locked="0"/>
    </xf>
    <xf numFmtId="0" fontId="185" fillId="0" borderId="0" xfId="0" applyFont="1" applyAlignment="1">
      <alignment horizontal="left" vertical="center"/>
    </xf>
    <xf numFmtId="0" fontId="182" fillId="0" borderId="101" xfId="0" applyFont="1" applyBorder="1" applyAlignment="1">
      <alignment horizontal="center" vertical="center" wrapText="1"/>
    </xf>
    <xf numFmtId="0" fontId="216" fillId="47" borderId="119" xfId="0" applyFont="1" applyFill="1" applyBorder="1" applyAlignment="1">
      <alignment horizontal="center" vertical="center" wrapText="1"/>
    </xf>
    <xf numFmtId="0" fontId="216" fillId="47" borderId="120" xfId="0" applyFont="1" applyFill="1" applyBorder="1" applyAlignment="1">
      <alignment horizontal="center" vertical="center" wrapText="1"/>
    </xf>
    <xf numFmtId="0" fontId="216" fillId="47" borderId="121" xfId="0" applyFont="1" applyFill="1" applyBorder="1" applyAlignment="1">
      <alignment horizontal="center" vertical="center" wrapText="1"/>
    </xf>
    <xf numFmtId="0" fontId="216" fillId="47" borderId="128" xfId="0" applyFont="1" applyFill="1" applyBorder="1" applyAlignment="1">
      <alignment horizontal="center" vertical="center" wrapText="1"/>
    </xf>
    <xf numFmtId="0" fontId="216" fillId="47" borderId="129" xfId="0" applyFont="1" applyFill="1" applyBorder="1" applyAlignment="1">
      <alignment horizontal="center" vertical="center" wrapText="1"/>
    </xf>
    <xf numFmtId="0" fontId="216" fillId="47" borderId="130" xfId="0" applyFont="1" applyFill="1" applyBorder="1" applyAlignment="1">
      <alignment horizontal="center" vertical="center" wrapText="1"/>
    </xf>
    <xf numFmtId="0" fontId="217" fillId="0" borderId="133" xfId="0" applyFont="1" applyBorder="1" applyAlignment="1">
      <alignment horizontal="center" vertical="center"/>
    </xf>
    <xf numFmtId="0" fontId="217" fillId="0" borderId="123" xfId="0" applyFont="1" applyBorder="1" applyAlignment="1">
      <alignment horizontal="center" vertical="center"/>
    </xf>
    <xf numFmtId="0" fontId="217" fillId="0" borderId="126" xfId="0" applyFont="1" applyBorder="1" applyAlignment="1">
      <alignment horizontal="center" vertical="center"/>
    </xf>
    <xf numFmtId="0" fontId="216" fillId="47" borderId="135" xfId="0" applyFont="1" applyFill="1" applyBorder="1" applyAlignment="1">
      <alignment horizontal="center" vertical="center" wrapText="1"/>
    </xf>
    <xf numFmtId="0" fontId="216" fillId="47" borderId="136" xfId="0" applyFont="1" applyFill="1" applyBorder="1" applyAlignment="1">
      <alignment horizontal="center" vertical="center" wrapText="1"/>
    </xf>
    <xf numFmtId="0" fontId="216" fillId="47" borderId="137" xfId="0" applyFont="1" applyFill="1" applyBorder="1" applyAlignment="1">
      <alignment horizontal="center" vertical="center" wrapText="1"/>
    </xf>
    <xf numFmtId="0" fontId="216" fillId="47" borderId="118" xfId="0" applyFont="1" applyFill="1" applyBorder="1" applyAlignment="1">
      <alignment horizontal="center" vertical="center" wrapText="1"/>
    </xf>
    <xf numFmtId="0" fontId="216" fillId="47" borderId="0" xfId="0" applyFont="1" applyFill="1" applyBorder="1" applyAlignment="1">
      <alignment horizontal="center" vertical="center" wrapText="1"/>
    </xf>
    <xf numFmtId="0" fontId="216" fillId="47" borderId="138" xfId="0" applyFont="1" applyFill="1" applyBorder="1" applyAlignment="1">
      <alignment horizontal="center" vertical="center" wrapText="1"/>
    </xf>
    <xf numFmtId="0" fontId="217" fillId="0" borderId="0" xfId="0" applyFont="1" applyAlignment="1">
      <alignment vertical="center"/>
    </xf>
    <xf numFmtId="0" fontId="217" fillId="0" borderId="0" xfId="0" applyFont="1" applyBorder="1" applyAlignment="1">
      <alignment vertical="center"/>
    </xf>
    <xf numFmtId="0" fontId="217" fillId="0" borderId="135" xfId="0" applyFont="1" applyBorder="1" applyAlignment="1">
      <alignment horizontal="center" vertical="center"/>
    </xf>
    <xf numFmtId="0" fontId="217" fillId="0" borderId="136" xfId="0" applyFont="1" applyBorder="1" applyAlignment="1">
      <alignment horizontal="center" vertical="center"/>
    </xf>
    <xf numFmtId="0" fontId="217" fillId="0" borderId="137" xfId="0" applyFont="1" applyBorder="1" applyAlignment="1">
      <alignment horizontal="center" vertical="center"/>
    </xf>
    <xf numFmtId="2" fontId="43" fillId="33" borderId="4" xfId="2" applyNumberFormat="1" applyFont="1" applyFill="1" applyBorder="1" applyAlignment="1" applyProtection="1">
      <alignment horizontal="center" vertical="center"/>
      <protection locked="0"/>
    </xf>
    <xf numFmtId="2" fontId="198" fillId="12" borderId="101" xfId="0" applyNumberFormat="1" applyFont="1" applyFill="1" applyBorder="1" applyAlignment="1" applyProtection="1">
      <alignment horizontal="center" vertical="center"/>
      <protection locked="0"/>
    </xf>
  </cellXfs>
  <cellStyles count="17">
    <cellStyle name="Comma" xfId="5" builtinId="3"/>
    <cellStyle name="Comma 5" xfId="7"/>
    <cellStyle name="Comma 6" xfId="8"/>
    <cellStyle name="Comma 8" xfId="9"/>
    <cellStyle name="Hyperlink" xfId="1" builtinId="8"/>
    <cellStyle name="Hyperlink 2" xfId="6"/>
    <cellStyle name="Normal" xfId="0" builtinId="0"/>
    <cellStyle name="Normal 10" xfId="10"/>
    <cellStyle name="Normal 11" xfId="11"/>
    <cellStyle name="Normal 2" xfId="2"/>
    <cellStyle name="Normal 3" xfId="4"/>
    <cellStyle name="Normal 4" xfId="12"/>
    <cellStyle name="Normal 5" xfId="13"/>
    <cellStyle name="Normal 6" xfId="14"/>
    <cellStyle name="Normal 8" xfId="15"/>
    <cellStyle name="Normal 9" xfId="16"/>
    <cellStyle name="Normal_pay 2008-09" xfId="3"/>
  </cellStyles>
  <dxfs count="2">
    <dxf>
      <fill>
        <patternFill patternType="solid">
          <fgColor auto="1"/>
          <bgColor theme="9" tint="0.79998168889431442"/>
        </patternFill>
      </fill>
    </dxf>
    <dxf>
      <font>
        <condense val="0"/>
        <extend val="0"/>
        <color indexed="9"/>
      </font>
    </dxf>
  </dxfs>
  <tableStyles count="0" defaultTableStyle="TableStyleMedium9" defaultPivotStyle="PivotStyleLight16"/>
  <colors>
    <mruColors>
      <color rgb="FFFFFFCC"/>
      <color rgb="FFE11FAA"/>
      <color rgb="FFCCECFF"/>
      <color rgb="FF000000"/>
      <color rgb="FFA45C9A"/>
      <color rgb="FF33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hyperlink" Target="#HRA!B10"/><Relationship Id="rId2" Type="http://schemas.openxmlformats.org/officeDocument/2006/relationships/hyperlink" Target="#Home!G40"/><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5153025</xdr:colOff>
      <xdr:row>19</xdr:row>
      <xdr:rowOff>38100</xdr:rowOff>
    </xdr:from>
    <xdr:to>
      <xdr:col>1</xdr:col>
      <xdr:colOff>6629400</xdr:colOff>
      <xdr:row>22</xdr:row>
      <xdr:rowOff>107823</xdr:rowOff>
    </xdr:to>
    <xdr:sp macro="" textlink="">
      <xdr:nvSpPr>
        <xdr:cNvPr id="2" name="Oval Callout 1"/>
        <xdr:cNvSpPr/>
      </xdr:nvSpPr>
      <xdr:spPr bwMode="auto">
        <a:xfrm>
          <a:off x="5638800" y="4391025"/>
          <a:ext cx="1476375" cy="612648"/>
        </a:xfrm>
        <a:prstGeom prst="wedgeEllipseCallout">
          <a:avLst>
            <a:gd name="adj1" fmla="val -114551"/>
            <a:gd name="adj2" fmla="val -12128"/>
          </a:avLst>
        </a:prstGeom>
        <a:solidFill>
          <a:schemeClr val="accent6">
            <a:lumMod val="40000"/>
            <a:lumOff val="60000"/>
          </a:schemeClr>
        </a:solid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r>
            <a:rPr lang="en-IN" sz="1100" b="1"/>
            <a:t>New changes</a:t>
          </a:r>
          <a:r>
            <a:rPr lang="en-IN" sz="1100" b="1" baseline="0"/>
            <a:t> in </a:t>
          </a:r>
          <a:r>
            <a:rPr lang="en-IN" sz="1100" b="1"/>
            <a:t> Finance</a:t>
          </a:r>
          <a:r>
            <a:rPr lang="en-IN" sz="1100" b="1" baseline="0"/>
            <a:t> Act</a:t>
          </a:r>
          <a:r>
            <a:rPr lang="en-IN" sz="1100" b="1"/>
            <a:t> 2016</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4</xdr:row>
      <xdr:rowOff>9525</xdr:rowOff>
    </xdr:from>
    <xdr:to>
      <xdr:col>1</xdr:col>
      <xdr:colOff>28575</xdr:colOff>
      <xdr:row>4</xdr:row>
      <xdr:rowOff>552450</xdr:rowOff>
    </xdr:to>
    <xdr:pic>
      <xdr:nvPicPr>
        <xdr:cNvPr id="2" name="Picture 111"/>
        <xdr:cNvPicPr>
          <a:picLocks noChangeAspect="1" noChangeArrowheads="1"/>
        </xdr:cNvPicPr>
      </xdr:nvPicPr>
      <xdr:blipFill>
        <a:blip xmlns:r="http://schemas.openxmlformats.org/officeDocument/2006/relationships" r:embed="rId1"/>
        <a:srcRect/>
        <a:stretch>
          <a:fillRect/>
        </a:stretch>
      </xdr:blipFill>
      <xdr:spPr bwMode="auto">
        <a:xfrm>
          <a:off x="4629150" y="904875"/>
          <a:ext cx="0" cy="247650"/>
        </a:xfrm>
        <a:prstGeom prst="rect">
          <a:avLst/>
        </a:prstGeom>
        <a:noFill/>
        <a:ln w="9525">
          <a:noFill/>
          <a:miter lim="800000"/>
          <a:headEnd/>
          <a:tailEnd/>
        </a:ln>
      </xdr:spPr>
    </xdr:pic>
    <xdr:clientData/>
  </xdr:twoCellAnchor>
  <xdr:twoCellAnchor>
    <xdr:from>
      <xdr:col>1</xdr:col>
      <xdr:colOff>2419350</xdr:colOff>
      <xdr:row>5</xdr:row>
      <xdr:rowOff>85725</xdr:rowOff>
    </xdr:from>
    <xdr:to>
      <xdr:col>1</xdr:col>
      <xdr:colOff>3390899</xdr:colOff>
      <xdr:row>5</xdr:row>
      <xdr:rowOff>304799</xdr:rowOff>
    </xdr:to>
    <xdr:sp macro="" textlink="">
      <xdr:nvSpPr>
        <xdr:cNvPr id="4" name="Rounded Rectangle 3"/>
        <xdr:cNvSpPr/>
      </xdr:nvSpPr>
      <xdr:spPr bwMode="auto">
        <a:xfrm>
          <a:off x="2533650" y="1676400"/>
          <a:ext cx="971549" cy="219074"/>
        </a:xfrm>
        <a:prstGeom prst="roundRect">
          <a:avLst/>
        </a:prstGeom>
        <a:solidFill>
          <a:srgbClr val="FFFFFF"/>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en-IN" sz="1400" b="1">
              <a:solidFill>
                <a:sysClr val="windowText" lastClr="000000"/>
              </a:solidFill>
            </a:rPr>
            <a:t>White Cells</a:t>
          </a:r>
        </a:p>
      </xdr:txBody>
    </xdr:sp>
    <xdr:clientData/>
  </xdr:twoCellAnchor>
  <xdr:oneCellAnchor>
    <xdr:from>
      <xdr:col>3</xdr:col>
      <xdr:colOff>266700</xdr:colOff>
      <xdr:row>11</xdr:row>
      <xdr:rowOff>57150</xdr:rowOff>
    </xdr:from>
    <xdr:ext cx="819151" cy="374141"/>
    <xdr:sp macro="" textlink="">
      <xdr:nvSpPr>
        <xdr:cNvPr id="9" name="Rectangle 8">
          <a:hlinkClick xmlns:r="http://schemas.openxmlformats.org/officeDocument/2006/relationships" r:id="rId2"/>
        </xdr:cNvPr>
        <xdr:cNvSpPr/>
      </xdr:nvSpPr>
      <xdr:spPr>
        <a:xfrm>
          <a:off x="5876925" y="2419350"/>
          <a:ext cx="819151" cy="374141"/>
        </a:xfrm>
        <a:prstGeom prst="rect">
          <a:avLst/>
        </a:prstGeom>
      </xdr:spPr>
      <xdr:style>
        <a:lnRef idx="0">
          <a:schemeClr val="accent3"/>
        </a:lnRef>
        <a:fillRef idx="3">
          <a:schemeClr val="accent3"/>
        </a:fillRef>
        <a:effectRef idx="3">
          <a:schemeClr val="accent3"/>
        </a:effectRef>
        <a:fontRef idx="minor">
          <a:schemeClr val="lt1"/>
        </a:fontRef>
      </xdr:style>
      <xdr:txBody>
        <a:bodyPr wrap="square" lIns="91440" tIns="45720" rIns="91440" bIns="45720">
          <a:spAutoFit/>
          <a:scene3d>
            <a:camera prst="orthographicFront"/>
            <a:lightRig rig="flat" dir="t">
              <a:rot lat="0" lon="0" rev="18900000"/>
            </a:lightRig>
          </a:scene3d>
          <a:sp3d extrusionH="31750" contourW="6350" prstMaterial="powder">
            <a:bevelT w="19050" h="19050" prst="angle"/>
            <a:contourClr>
              <a:schemeClr val="accent3">
                <a:tint val="100000"/>
                <a:shade val="100000"/>
                <a:satMod val="100000"/>
                <a:hueMod val="100000"/>
              </a:schemeClr>
            </a:contourClr>
          </a:sp3d>
        </a:bodyPr>
        <a:lstStyle/>
        <a:p>
          <a:pPr algn="ctr"/>
          <a:r>
            <a:rPr lang="en-US" sz="1800" b="1" cap="none" spc="0">
              <a:ln/>
              <a:solidFill>
                <a:srgbClr val="002060"/>
              </a:solidFill>
              <a:effectLst/>
            </a:rPr>
            <a:t>HELP</a:t>
          </a:r>
        </a:p>
      </xdr:txBody>
    </xdr:sp>
    <xdr:clientData/>
  </xdr:oneCellAnchor>
  <xdr:oneCellAnchor>
    <xdr:from>
      <xdr:col>3</xdr:col>
      <xdr:colOff>19051</xdr:colOff>
      <xdr:row>20</xdr:row>
      <xdr:rowOff>238128</xdr:rowOff>
    </xdr:from>
    <xdr:ext cx="1581149" cy="616323"/>
    <xdr:sp macro="" textlink="">
      <xdr:nvSpPr>
        <xdr:cNvPr id="11" name="Rectangle 10">
          <a:hlinkClick xmlns:r="http://schemas.openxmlformats.org/officeDocument/2006/relationships" r:id="rId3"/>
        </xdr:cNvPr>
        <xdr:cNvSpPr/>
      </xdr:nvSpPr>
      <xdr:spPr>
        <a:xfrm>
          <a:off x="7343776" y="5638803"/>
          <a:ext cx="1581149" cy="616323"/>
        </a:xfrm>
        <a:prstGeom prst="rect">
          <a:avLst/>
        </a:prstGeom>
      </xdr:spPr>
      <xdr:style>
        <a:lnRef idx="0">
          <a:schemeClr val="accent3"/>
        </a:lnRef>
        <a:fillRef idx="3">
          <a:schemeClr val="accent3"/>
        </a:fillRef>
        <a:effectRef idx="3">
          <a:schemeClr val="accent3"/>
        </a:effectRef>
        <a:fontRef idx="minor">
          <a:schemeClr val="lt1"/>
        </a:fontRef>
      </xdr:style>
      <xdr:txBody>
        <a:bodyPr wrap="square" lIns="91440" tIns="45720" rIns="91440" bIns="45720">
          <a:spAutoFit/>
          <a:scene3d>
            <a:camera prst="orthographicFront"/>
            <a:lightRig rig="flat" dir="t">
              <a:rot lat="0" lon="0" rev="18900000"/>
            </a:lightRig>
          </a:scene3d>
          <a:sp3d extrusionH="31750" contourW="6350" prstMaterial="powder">
            <a:bevelT w="19050" h="19050" prst="angle"/>
            <a:contourClr>
              <a:schemeClr val="accent3">
                <a:tint val="100000"/>
                <a:shade val="100000"/>
                <a:satMod val="100000"/>
                <a:hueMod val="100000"/>
              </a:schemeClr>
            </a:contourClr>
          </a:sp3d>
        </a:bodyPr>
        <a:lstStyle/>
        <a:p>
          <a:pPr algn="ctr"/>
          <a:r>
            <a:rPr lang="en-US" sz="1800" b="1" cap="none" spc="0">
              <a:ln/>
              <a:solidFill>
                <a:srgbClr val="002060"/>
              </a:solidFill>
              <a:effectLst/>
              <a:latin typeface="Kruti Dev 010" pitchFamily="2" charset="0"/>
            </a:rPr>
            <a:t>edku</a:t>
          </a:r>
          <a:r>
            <a:rPr lang="en-US" sz="1800" b="1" cap="none" spc="0" baseline="0">
              <a:ln/>
              <a:solidFill>
                <a:srgbClr val="002060"/>
              </a:solidFill>
              <a:effectLst/>
              <a:latin typeface="Kruti Dev 010" pitchFamily="2" charset="0"/>
            </a:rPr>
            <a:t> fdjk;k jlhn fizaV djsa</a:t>
          </a:r>
          <a:endParaRPr lang="en-US" sz="1800" b="1" cap="none" spc="0">
            <a:ln/>
            <a:solidFill>
              <a:srgbClr val="002060"/>
            </a:solidFill>
            <a:effectLst/>
          </a:endParaRPr>
        </a:p>
      </xdr:txBody>
    </xdr:sp>
    <xdr:clientData/>
  </xdr:oneCellAnchor>
  <xdr:twoCellAnchor>
    <xdr:from>
      <xdr:col>1</xdr:col>
      <xdr:colOff>2600325</xdr:colOff>
      <xdr:row>65</xdr:row>
      <xdr:rowOff>9526</xdr:rowOff>
    </xdr:from>
    <xdr:to>
      <xdr:col>1</xdr:col>
      <xdr:colOff>3629025</xdr:colOff>
      <xdr:row>65</xdr:row>
      <xdr:rowOff>266700</xdr:rowOff>
    </xdr:to>
    <xdr:sp macro="" textlink="">
      <xdr:nvSpPr>
        <xdr:cNvPr id="8" name="Right Arrow 7"/>
        <xdr:cNvSpPr/>
      </xdr:nvSpPr>
      <xdr:spPr>
        <a:xfrm>
          <a:off x="2714625" y="13973176"/>
          <a:ext cx="1028700" cy="257174"/>
        </a:xfrm>
        <a:prstGeom prst="rightArrow">
          <a:avLst/>
        </a:prstGeom>
      </xdr:spPr>
      <xdr:style>
        <a:lnRef idx="1">
          <a:schemeClr val="accent3"/>
        </a:lnRef>
        <a:fillRef idx="3">
          <a:schemeClr val="accent3"/>
        </a:fillRef>
        <a:effectRef idx="2">
          <a:schemeClr val="accent3"/>
        </a:effectRef>
        <a:fontRef idx="minor">
          <a:schemeClr val="lt1"/>
        </a:fontRef>
      </xdr:style>
      <xdr:txBody>
        <a:bodyPr rtlCol="0" anchor="ctr"/>
        <a:lstStyle/>
        <a:p>
          <a:pPr algn="ctr"/>
          <a:endParaRPr lang="en-GB" sz="1100">
            <a:solidFill>
              <a:srgbClr val="FFFF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352425</xdr:colOff>
      <xdr:row>16</xdr:row>
      <xdr:rowOff>161925</xdr:rowOff>
    </xdr:from>
    <xdr:to>
      <xdr:col>21</xdr:col>
      <xdr:colOff>285750</xdr:colOff>
      <xdr:row>19</xdr:row>
      <xdr:rowOff>142875</xdr:rowOff>
    </xdr:to>
    <xdr:sp macro="" textlink="">
      <xdr:nvSpPr>
        <xdr:cNvPr id="2" name="Rounded Rectangle 1"/>
        <xdr:cNvSpPr/>
      </xdr:nvSpPr>
      <xdr:spPr>
        <a:xfrm>
          <a:off x="9953625" y="4676775"/>
          <a:ext cx="876300" cy="809625"/>
        </a:xfrm>
        <a:prstGeom prst="roundRect">
          <a:avLst/>
        </a:prstGeom>
      </xdr:spPr>
      <xdr:style>
        <a:lnRef idx="2">
          <a:schemeClr val="dk1"/>
        </a:lnRef>
        <a:fillRef idx="1">
          <a:schemeClr val="lt1"/>
        </a:fillRef>
        <a:effectRef idx="0">
          <a:schemeClr val="dk1"/>
        </a:effectRef>
        <a:fontRef idx="minor">
          <a:schemeClr val="dk1"/>
        </a:fontRef>
      </xdr:style>
      <xdr:txBody>
        <a:bodyPr rtlCol="0" anchor="ctr"/>
        <a:lstStyle/>
        <a:p>
          <a:pPr algn="ctr"/>
          <a:r>
            <a:rPr lang="en-GB" sz="1100"/>
            <a:t>REVENUE</a:t>
          </a:r>
          <a:r>
            <a:rPr lang="en-GB" sz="1100" baseline="0"/>
            <a:t> STAMP</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ijayranwa.jimd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gssamarpura.jimdo.com/" TargetMode="External"/><Relationship Id="rId1" Type="http://schemas.openxmlformats.org/officeDocument/2006/relationships/hyperlink" Target="mailto:vijaysalasar2011@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39"/>
  <sheetViews>
    <sheetView tabSelected="1" workbookViewId="0">
      <selection activeCell="B90" sqref="B90"/>
    </sheetView>
  </sheetViews>
  <sheetFormatPr defaultColWidth="0" defaultRowHeight="12.75" customHeight="1" zeroHeight="1"/>
  <cols>
    <col min="1" max="1" width="6.28515625" style="325" customWidth="1"/>
    <col min="2" max="2" width="178.85546875" style="293" customWidth="1"/>
    <col min="3" max="18" width="0" style="292" hidden="1" customWidth="1"/>
    <col min="19" max="16384" width="0" style="293" hidden="1"/>
  </cols>
  <sheetData>
    <row r="1" spans="1:18" ht="45" customHeight="1" thickBot="1">
      <c r="A1" s="371"/>
      <c r="B1" s="372" t="s">
        <v>575</v>
      </c>
      <c r="C1" s="290"/>
      <c r="D1" s="291"/>
    </row>
    <row r="2" spans="1:18" ht="21.75" customHeight="1">
      <c r="A2" s="392" t="s">
        <v>558</v>
      </c>
      <c r="B2" s="393"/>
      <c r="C2" s="294"/>
      <c r="D2" s="291"/>
    </row>
    <row r="3" spans="1:18" ht="48" customHeight="1">
      <c r="A3" s="394" t="s">
        <v>458</v>
      </c>
      <c r="B3" s="394"/>
      <c r="C3" s="295"/>
      <c r="D3" s="291"/>
    </row>
    <row r="4" spans="1:18" ht="14.25" customHeight="1">
      <c r="A4" s="296"/>
      <c r="B4" s="297" t="s">
        <v>343</v>
      </c>
    </row>
    <row r="5" spans="1:18" ht="14.25" customHeight="1">
      <c r="A5" s="298">
        <v>1</v>
      </c>
      <c r="B5" s="299" t="s">
        <v>532</v>
      </c>
    </row>
    <row r="6" spans="1:18" s="302" customFormat="1" ht="14.25" customHeight="1">
      <c r="A6" s="298">
        <v>2</v>
      </c>
      <c r="B6" s="300" t="s">
        <v>344</v>
      </c>
      <c r="C6" s="301"/>
      <c r="D6" s="301"/>
      <c r="E6" s="301"/>
      <c r="F6" s="301"/>
      <c r="G6" s="301"/>
      <c r="H6" s="301"/>
      <c r="I6" s="301"/>
      <c r="J6" s="301"/>
      <c r="K6" s="301"/>
      <c r="L6" s="301"/>
      <c r="M6" s="301"/>
      <c r="N6" s="301"/>
      <c r="O6" s="301"/>
      <c r="P6" s="301"/>
      <c r="Q6" s="301"/>
      <c r="R6" s="301"/>
    </row>
    <row r="7" spans="1:18" ht="14.25" customHeight="1">
      <c r="A7" s="298">
        <v>3</v>
      </c>
      <c r="B7" s="300" t="s">
        <v>345</v>
      </c>
    </row>
    <row r="8" spans="1:18" ht="14.25" customHeight="1">
      <c r="A8" s="298">
        <v>4</v>
      </c>
      <c r="B8" s="303" t="s">
        <v>346</v>
      </c>
    </row>
    <row r="9" spans="1:18" ht="14.25" customHeight="1">
      <c r="A9" s="298" t="s">
        <v>80</v>
      </c>
      <c r="B9" s="300" t="s">
        <v>347</v>
      </c>
    </row>
    <row r="10" spans="1:18" ht="14.25" customHeight="1">
      <c r="A10" s="298" t="s">
        <v>348</v>
      </c>
      <c r="B10" s="300" t="s">
        <v>349</v>
      </c>
    </row>
    <row r="11" spans="1:18" ht="14.25" customHeight="1">
      <c r="A11" s="298" t="s">
        <v>350</v>
      </c>
      <c r="B11" s="300" t="s">
        <v>351</v>
      </c>
    </row>
    <row r="12" spans="1:18" ht="14.25" customHeight="1">
      <c r="A12" s="298" t="s">
        <v>352</v>
      </c>
      <c r="B12" s="300" t="s">
        <v>353</v>
      </c>
    </row>
    <row r="13" spans="1:18" ht="14.25" customHeight="1">
      <c r="A13" s="298" t="s">
        <v>354</v>
      </c>
      <c r="B13" s="300" t="s">
        <v>355</v>
      </c>
    </row>
    <row r="14" spans="1:18" ht="14.25" customHeight="1">
      <c r="A14" s="298" t="s">
        <v>356</v>
      </c>
      <c r="B14" s="300" t="s">
        <v>357</v>
      </c>
    </row>
    <row r="15" spans="1:18" s="305" customFormat="1" ht="14.25" customHeight="1">
      <c r="A15" s="298" t="s">
        <v>358</v>
      </c>
      <c r="B15" s="300" t="s">
        <v>359</v>
      </c>
      <c r="C15" s="304"/>
      <c r="D15" s="304"/>
      <c r="E15" s="304"/>
      <c r="F15" s="304"/>
      <c r="G15" s="304"/>
      <c r="H15" s="304"/>
      <c r="I15" s="304"/>
      <c r="J15" s="304"/>
      <c r="K15" s="304"/>
      <c r="L15" s="304"/>
      <c r="M15" s="304"/>
      <c r="N15" s="304"/>
      <c r="O15" s="304"/>
      <c r="P15" s="304"/>
      <c r="Q15" s="304"/>
      <c r="R15" s="304"/>
    </row>
    <row r="16" spans="1:18" ht="14.25" customHeight="1">
      <c r="A16" s="298" t="s">
        <v>360</v>
      </c>
      <c r="B16" s="300" t="s">
        <v>361</v>
      </c>
    </row>
    <row r="17" spans="1:2" ht="14.25" customHeight="1">
      <c r="A17" s="298" t="s">
        <v>362</v>
      </c>
      <c r="B17" s="300" t="s">
        <v>363</v>
      </c>
    </row>
    <row r="18" spans="1:2" ht="14.25" customHeight="1">
      <c r="A18" s="298" t="s">
        <v>364</v>
      </c>
      <c r="B18" s="300" t="s">
        <v>365</v>
      </c>
    </row>
    <row r="19" spans="1:2" ht="14.25" customHeight="1">
      <c r="A19" s="298" t="s">
        <v>366</v>
      </c>
      <c r="B19" s="300" t="s">
        <v>367</v>
      </c>
    </row>
    <row r="20" spans="1:2" ht="14.25" customHeight="1">
      <c r="A20" s="298" t="s">
        <v>368</v>
      </c>
      <c r="B20" s="300" t="s">
        <v>369</v>
      </c>
    </row>
    <row r="21" spans="1:2" ht="14.25" customHeight="1">
      <c r="A21" s="298" t="s">
        <v>370</v>
      </c>
      <c r="B21" s="300" t="s">
        <v>371</v>
      </c>
    </row>
    <row r="22" spans="1:2" ht="14.25" customHeight="1">
      <c r="A22" s="298" t="s">
        <v>372</v>
      </c>
      <c r="B22" s="300" t="s">
        <v>373</v>
      </c>
    </row>
    <row r="23" spans="1:2" ht="14.25" customHeight="1">
      <c r="A23" s="298" t="s">
        <v>374</v>
      </c>
      <c r="B23" s="300" t="s">
        <v>375</v>
      </c>
    </row>
    <row r="24" spans="1:2" ht="14.25" customHeight="1">
      <c r="A24" s="298">
        <v>5</v>
      </c>
      <c r="B24" s="300" t="s">
        <v>376</v>
      </c>
    </row>
    <row r="25" spans="1:2" ht="14.25" customHeight="1">
      <c r="A25" s="298" t="s">
        <v>377</v>
      </c>
      <c r="B25" s="300" t="s">
        <v>378</v>
      </c>
    </row>
    <row r="26" spans="1:2" ht="14.25" customHeight="1">
      <c r="A26" s="298" t="s">
        <v>379</v>
      </c>
      <c r="B26" s="300" t="s">
        <v>380</v>
      </c>
    </row>
    <row r="27" spans="1:2" ht="14.25" customHeight="1">
      <c r="A27" s="298" t="s">
        <v>381</v>
      </c>
      <c r="B27" s="300" t="s">
        <v>382</v>
      </c>
    </row>
    <row r="28" spans="1:2" ht="14.25" customHeight="1">
      <c r="A28" s="298" t="s">
        <v>383</v>
      </c>
      <c r="B28" s="300" t="s">
        <v>384</v>
      </c>
    </row>
    <row r="29" spans="1:2" ht="14.25" customHeight="1">
      <c r="A29" s="298" t="s">
        <v>385</v>
      </c>
      <c r="B29" s="300" t="s">
        <v>386</v>
      </c>
    </row>
    <row r="30" spans="1:2" ht="14.25" customHeight="1">
      <c r="A30" s="298" t="s">
        <v>387</v>
      </c>
      <c r="B30" s="300" t="s">
        <v>388</v>
      </c>
    </row>
    <row r="31" spans="1:2" ht="14.25" customHeight="1">
      <c r="A31" s="298" t="s">
        <v>389</v>
      </c>
      <c r="B31" s="300" t="s">
        <v>390</v>
      </c>
    </row>
    <row r="32" spans="1:2" ht="14.25" customHeight="1">
      <c r="A32" s="298" t="s">
        <v>391</v>
      </c>
      <c r="B32" s="300" t="s">
        <v>392</v>
      </c>
    </row>
    <row r="33" spans="1:2" ht="14.25" customHeight="1">
      <c r="A33" s="298" t="s">
        <v>393</v>
      </c>
      <c r="B33" s="300" t="s">
        <v>394</v>
      </c>
    </row>
    <row r="34" spans="1:2" ht="14.25" customHeight="1">
      <c r="A34" s="298" t="s">
        <v>395</v>
      </c>
      <c r="B34" s="300" t="s">
        <v>396</v>
      </c>
    </row>
    <row r="35" spans="1:2" ht="14.25" customHeight="1">
      <c r="A35" s="298" t="s">
        <v>397</v>
      </c>
      <c r="B35" s="306" t="s">
        <v>398</v>
      </c>
    </row>
    <row r="36" spans="1:2" ht="14.25" customHeight="1">
      <c r="A36" s="298" t="s">
        <v>399</v>
      </c>
      <c r="B36" s="300" t="s">
        <v>400</v>
      </c>
    </row>
    <row r="37" spans="1:2" ht="14.25" customHeight="1">
      <c r="A37" s="298" t="s">
        <v>401</v>
      </c>
      <c r="B37" s="300" t="s">
        <v>402</v>
      </c>
    </row>
    <row r="38" spans="1:2" ht="14.25" customHeight="1">
      <c r="A38" s="298">
        <v>6</v>
      </c>
      <c r="B38" s="300" t="s">
        <v>403</v>
      </c>
    </row>
    <row r="39" spans="1:2" ht="17.25" customHeight="1" thickBot="1">
      <c r="A39" s="307"/>
      <c r="B39" s="308" t="s">
        <v>533</v>
      </c>
    </row>
    <row r="40" spans="1:2" ht="14.25" customHeight="1" thickTop="1">
      <c r="A40" s="309"/>
      <c r="B40" s="310" t="s">
        <v>404</v>
      </c>
    </row>
    <row r="41" spans="1:2" ht="14.25" customHeight="1">
      <c r="A41" s="311"/>
      <c r="B41" s="312" t="s">
        <v>405</v>
      </c>
    </row>
    <row r="42" spans="1:2" ht="14.25" customHeight="1">
      <c r="A42" s="311"/>
      <c r="B42" s="313" t="s">
        <v>406</v>
      </c>
    </row>
    <row r="43" spans="1:2" ht="14.25" customHeight="1">
      <c r="A43" s="311"/>
      <c r="B43" s="313" t="s">
        <v>534</v>
      </c>
    </row>
    <row r="44" spans="1:2" ht="14.25" customHeight="1">
      <c r="A44" s="311"/>
      <c r="B44" s="313" t="s">
        <v>535</v>
      </c>
    </row>
    <row r="45" spans="1:2" ht="14.25" customHeight="1">
      <c r="A45" s="311"/>
      <c r="B45" s="313" t="s">
        <v>536</v>
      </c>
    </row>
    <row r="46" spans="1:2" ht="14.25" customHeight="1" thickBot="1">
      <c r="A46" s="311"/>
      <c r="B46" s="314" t="s">
        <v>559</v>
      </c>
    </row>
    <row r="47" spans="1:2" ht="14.25" customHeight="1">
      <c r="A47" s="311"/>
      <c r="B47" s="315" t="s">
        <v>537</v>
      </c>
    </row>
    <row r="48" spans="1:2" ht="14.25" customHeight="1">
      <c r="A48" s="311"/>
      <c r="B48" s="316" t="s">
        <v>407</v>
      </c>
    </row>
    <row r="49" spans="1:2" ht="14.25" customHeight="1">
      <c r="A49" s="311"/>
      <c r="B49" s="317" t="s">
        <v>408</v>
      </c>
    </row>
    <row r="50" spans="1:2" ht="14.25" customHeight="1">
      <c r="A50" s="311"/>
      <c r="B50" s="317" t="s">
        <v>538</v>
      </c>
    </row>
    <row r="51" spans="1:2" ht="14.25" customHeight="1">
      <c r="A51" s="311"/>
      <c r="B51" s="317" t="s">
        <v>539</v>
      </c>
    </row>
    <row r="52" spans="1:2" ht="14.25" customHeight="1">
      <c r="A52" s="311"/>
      <c r="B52" s="317" t="s">
        <v>540</v>
      </c>
    </row>
    <row r="53" spans="1:2" ht="14.25" customHeight="1" thickBot="1">
      <c r="A53" s="311"/>
      <c r="B53" s="314" t="s">
        <v>541</v>
      </c>
    </row>
    <row r="54" spans="1:2" ht="14.25" customHeight="1">
      <c r="A54" s="311"/>
      <c r="B54" s="318" t="s">
        <v>409</v>
      </c>
    </row>
    <row r="55" spans="1:2" ht="14.25" customHeight="1">
      <c r="A55" s="311"/>
      <c r="B55" s="319" t="s">
        <v>410</v>
      </c>
    </row>
    <row r="56" spans="1:2" ht="14.25" customHeight="1">
      <c r="A56" s="311"/>
      <c r="B56" s="320" t="s">
        <v>542</v>
      </c>
    </row>
    <row r="57" spans="1:2" ht="14.25" customHeight="1">
      <c r="A57" s="311"/>
      <c r="B57" s="320" t="s">
        <v>543</v>
      </c>
    </row>
    <row r="58" spans="1:2" ht="14.25" customHeight="1">
      <c r="A58" s="311"/>
      <c r="B58" s="320" t="s">
        <v>544</v>
      </c>
    </row>
    <row r="59" spans="1:2" ht="14.25" customHeight="1">
      <c r="A59" s="311"/>
      <c r="B59" s="320" t="s">
        <v>545</v>
      </c>
    </row>
    <row r="60" spans="1:2" ht="14.25" customHeight="1" thickBot="1">
      <c r="A60" s="311"/>
      <c r="B60" s="314" t="s">
        <v>546</v>
      </c>
    </row>
    <row r="61" spans="1:2" ht="14.25" customHeight="1">
      <c r="A61" s="311"/>
      <c r="B61" s="321" t="s">
        <v>411</v>
      </c>
    </row>
    <row r="62" spans="1:2" ht="14.25" customHeight="1">
      <c r="A62" s="311"/>
      <c r="B62" s="322" t="s">
        <v>412</v>
      </c>
    </row>
    <row r="63" spans="1:2" ht="14.25" customHeight="1">
      <c r="A63" s="311"/>
      <c r="B63" s="323" t="s">
        <v>413</v>
      </c>
    </row>
    <row r="64" spans="1:2" ht="14.25" customHeight="1">
      <c r="A64" s="311"/>
      <c r="B64" s="323" t="s">
        <v>547</v>
      </c>
    </row>
    <row r="65" spans="1:18" ht="14.25" customHeight="1" thickBot="1">
      <c r="A65" s="311"/>
      <c r="B65" s="323" t="s">
        <v>548</v>
      </c>
    </row>
    <row r="66" spans="1:18" ht="32.25" customHeight="1" thickTop="1" thickBot="1">
      <c r="A66" s="311"/>
      <c r="B66" s="324" t="s">
        <v>549</v>
      </c>
    </row>
    <row r="67" spans="1:18" ht="15.75" thickTop="1">
      <c r="A67" s="382"/>
      <c r="B67" s="326" t="s">
        <v>414</v>
      </c>
    </row>
    <row r="68" spans="1:18" ht="15.75" customHeight="1">
      <c r="A68" s="383"/>
      <c r="B68" s="293" t="s">
        <v>415</v>
      </c>
    </row>
    <row r="69" spans="1:18" s="329" customFormat="1" ht="102" customHeight="1">
      <c r="A69" s="382"/>
      <c r="B69" s="327" t="s">
        <v>416</v>
      </c>
      <c r="C69" s="328"/>
      <c r="D69" s="328"/>
      <c r="E69" s="328"/>
      <c r="F69" s="328"/>
      <c r="G69" s="328"/>
      <c r="H69" s="328"/>
      <c r="I69" s="328"/>
      <c r="J69" s="328"/>
      <c r="K69" s="328"/>
      <c r="L69" s="328"/>
      <c r="M69" s="328"/>
      <c r="N69" s="328"/>
      <c r="O69" s="328"/>
      <c r="P69" s="328"/>
      <c r="Q69" s="328"/>
      <c r="R69" s="328"/>
    </row>
    <row r="70" spans="1:18" ht="45.75" customHeight="1">
      <c r="A70" s="384"/>
      <c r="B70" s="330" t="s">
        <v>550</v>
      </c>
    </row>
    <row r="71" spans="1:18" ht="15">
      <c r="A71" s="384"/>
      <c r="B71" s="331" t="s">
        <v>417</v>
      </c>
    </row>
    <row r="72" spans="1:18" ht="40.5">
      <c r="A72" s="382"/>
      <c r="B72" s="332" t="s">
        <v>583</v>
      </c>
    </row>
    <row r="73" spans="1:18" ht="15">
      <c r="A73" s="382"/>
      <c r="B73" s="331" t="s">
        <v>418</v>
      </c>
    </row>
    <row r="74" spans="1:18">
      <c r="A74" s="382"/>
      <c r="B74" s="333" t="s">
        <v>419</v>
      </c>
    </row>
    <row r="75" spans="1:18">
      <c r="A75" s="382"/>
      <c r="B75" s="333" t="s">
        <v>420</v>
      </c>
    </row>
    <row r="76" spans="1:18">
      <c r="A76" s="382"/>
      <c r="B76" s="333" t="s">
        <v>421</v>
      </c>
    </row>
    <row r="77" spans="1:18" ht="15.75">
      <c r="A77" s="382"/>
      <c r="B77" s="334" t="s">
        <v>422</v>
      </c>
    </row>
    <row r="78" spans="1:18" ht="15">
      <c r="A78" s="382"/>
      <c r="B78" s="335" t="s">
        <v>423</v>
      </c>
    </row>
    <row r="79" spans="1:18" ht="14.25" customHeight="1">
      <c r="A79" s="382"/>
      <c r="B79" s="336" t="s">
        <v>424</v>
      </c>
    </row>
    <row r="80" spans="1:18" ht="27" customHeight="1">
      <c r="A80" s="382"/>
      <c r="B80" s="337" t="s">
        <v>425</v>
      </c>
    </row>
    <row r="81" spans="1:2" ht="15" customHeight="1">
      <c r="A81" s="385"/>
      <c r="B81" s="338" t="s">
        <v>426</v>
      </c>
    </row>
    <row r="82" spans="1:2" ht="81.75" customHeight="1">
      <c r="A82" s="383" t="s">
        <v>80</v>
      </c>
      <c r="B82" s="370" t="s">
        <v>601</v>
      </c>
    </row>
    <row r="83" spans="1:2" ht="24">
      <c r="A83" s="383" t="s">
        <v>427</v>
      </c>
      <c r="B83" s="339" t="s">
        <v>428</v>
      </c>
    </row>
    <row r="84" spans="1:2" ht="17.25" customHeight="1">
      <c r="A84" s="383" t="s">
        <v>350</v>
      </c>
      <c r="B84" s="340" t="s">
        <v>429</v>
      </c>
    </row>
    <row r="85" spans="1:2" ht="30" customHeight="1">
      <c r="A85" s="383" t="s">
        <v>352</v>
      </c>
      <c r="B85" s="340" t="s">
        <v>430</v>
      </c>
    </row>
    <row r="86" spans="1:2" ht="69" customHeight="1">
      <c r="A86" s="383" t="s">
        <v>431</v>
      </c>
      <c r="B86" s="340" t="s">
        <v>602</v>
      </c>
    </row>
    <row r="87" spans="1:2" ht="18" customHeight="1">
      <c r="A87" s="383" t="s">
        <v>432</v>
      </c>
      <c r="B87" s="341" t="s">
        <v>551</v>
      </c>
    </row>
    <row r="88" spans="1:2" ht="33.75" customHeight="1">
      <c r="A88" s="383" t="s">
        <v>356</v>
      </c>
      <c r="B88" s="342" t="s">
        <v>552</v>
      </c>
    </row>
    <row r="89" spans="1:2" ht="79.5" customHeight="1">
      <c r="A89" s="383" t="s">
        <v>433</v>
      </c>
      <c r="B89" s="343" t="s">
        <v>553</v>
      </c>
    </row>
    <row r="90" spans="1:2" ht="30.75" customHeight="1">
      <c r="A90" s="383" t="s">
        <v>360</v>
      </c>
      <c r="B90" s="344" t="s">
        <v>554</v>
      </c>
    </row>
    <row r="91" spans="1:2" ht="57.75" customHeight="1">
      <c r="A91" s="383" t="s">
        <v>434</v>
      </c>
      <c r="B91" s="345" t="s">
        <v>555</v>
      </c>
    </row>
    <row r="92" spans="1:2" ht="30.75" customHeight="1">
      <c r="A92" s="383" t="s">
        <v>435</v>
      </c>
      <c r="B92" s="346" t="s">
        <v>436</v>
      </c>
    </row>
    <row r="93" spans="1:2" ht="86.25" customHeight="1">
      <c r="A93" s="383" t="s">
        <v>437</v>
      </c>
      <c r="B93" s="345" t="s">
        <v>603</v>
      </c>
    </row>
    <row r="94" spans="1:2" ht="18" customHeight="1">
      <c r="A94" s="383" t="s">
        <v>368</v>
      </c>
      <c r="B94" s="347" t="s">
        <v>438</v>
      </c>
    </row>
    <row r="95" spans="1:2" ht="15" customHeight="1">
      <c r="A95" s="383" t="s">
        <v>370</v>
      </c>
      <c r="B95" s="348" t="s">
        <v>439</v>
      </c>
    </row>
    <row r="96" spans="1:2" ht="29.25" customHeight="1">
      <c r="A96" s="386" t="s">
        <v>440</v>
      </c>
      <c r="B96" s="349" t="s">
        <v>441</v>
      </c>
    </row>
    <row r="97" spans="1:2" ht="25.5" customHeight="1">
      <c r="A97" s="387" t="s">
        <v>374</v>
      </c>
      <c r="B97" s="350" t="s">
        <v>442</v>
      </c>
    </row>
    <row r="98" spans="1:2" ht="16.5" customHeight="1">
      <c r="A98" s="382" t="s">
        <v>443</v>
      </c>
      <c r="B98" s="351" t="s">
        <v>444</v>
      </c>
    </row>
    <row r="99" spans="1:2" ht="25.5" customHeight="1">
      <c r="A99" s="388"/>
      <c r="B99" s="352" t="s">
        <v>445</v>
      </c>
    </row>
    <row r="100" spans="1:2" ht="75.75" customHeight="1">
      <c r="A100" s="384"/>
      <c r="B100" s="377" t="s">
        <v>578</v>
      </c>
    </row>
    <row r="101" spans="1:2" ht="21" customHeight="1">
      <c r="A101" s="389"/>
      <c r="B101" s="353" t="s">
        <v>446</v>
      </c>
    </row>
    <row r="102" spans="1:2" ht="27.75" customHeight="1">
      <c r="A102" s="388" t="s">
        <v>377</v>
      </c>
      <c r="B102" s="354" t="s">
        <v>447</v>
      </c>
    </row>
    <row r="103" spans="1:2" ht="90">
      <c r="A103" s="388" t="s">
        <v>379</v>
      </c>
      <c r="B103" s="355" t="s">
        <v>571</v>
      </c>
    </row>
    <row r="104" spans="1:2" ht="31.5" customHeight="1">
      <c r="A104" s="388" t="s">
        <v>381</v>
      </c>
      <c r="B104" s="354" t="s">
        <v>556</v>
      </c>
    </row>
    <row r="105" spans="1:2" ht="48" customHeight="1">
      <c r="A105" s="388" t="s">
        <v>383</v>
      </c>
      <c r="B105" s="356" t="s">
        <v>448</v>
      </c>
    </row>
    <row r="106" spans="1:2" ht="62.25" customHeight="1">
      <c r="A106" s="384" t="s">
        <v>385</v>
      </c>
      <c r="B106" s="355" t="s">
        <v>449</v>
      </c>
    </row>
    <row r="107" spans="1:2" ht="22.5" customHeight="1">
      <c r="A107" s="384" t="s">
        <v>387</v>
      </c>
      <c r="B107" s="357" t="s">
        <v>579</v>
      </c>
    </row>
    <row r="108" spans="1:2" ht="27.75" customHeight="1">
      <c r="A108" s="384" t="s">
        <v>389</v>
      </c>
      <c r="B108" s="355" t="s">
        <v>450</v>
      </c>
    </row>
    <row r="109" spans="1:2" ht="63.75" customHeight="1">
      <c r="A109" s="384" t="s">
        <v>391</v>
      </c>
      <c r="B109" s="354" t="s">
        <v>570</v>
      </c>
    </row>
    <row r="110" spans="1:2" ht="47.25" customHeight="1">
      <c r="A110" s="384" t="s">
        <v>393</v>
      </c>
      <c r="B110" s="358" t="s">
        <v>451</v>
      </c>
    </row>
    <row r="111" spans="1:2" ht="60" customHeight="1">
      <c r="A111" s="384" t="s">
        <v>395</v>
      </c>
      <c r="B111" s="359" t="s">
        <v>452</v>
      </c>
    </row>
    <row r="112" spans="1:2" ht="56.25" customHeight="1">
      <c r="A112" s="384" t="s">
        <v>397</v>
      </c>
      <c r="B112" s="359" t="s">
        <v>453</v>
      </c>
    </row>
    <row r="113" spans="1:2" ht="15">
      <c r="A113" s="384" t="s">
        <v>399</v>
      </c>
      <c r="B113" s="360" t="s">
        <v>454</v>
      </c>
    </row>
    <row r="114" spans="1:2">
      <c r="A114" s="390"/>
      <c r="B114" s="379" t="s">
        <v>403</v>
      </c>
    </row>
    <row r="115" spans="1:2" ht="75" customHeight="1">
      <c r="A115" s="382"/>
      <c r="B115" s="361" t="s">
        <v>455</v>
      </c>
    </row>
    <row r="116" spans="1:2" s="292" customFormat="1">
      <c r="A116" s="391"/>
      <c r="B116" s="380" t="s">
        <v>582</v>
      </c>
    </row>
    <row r="117" spans="1:2" s="292" customFormat="1">
      <c r="A117" s="391"/>
      <c r="B117" s="381" t="s">
        <v>557</v>
      </c>
    </row>
    <row r="118" spans="1:2" s="292" customFormat="1" hidden="1">
      <c r="A118" s="362"/>
    </row>
    <row r="119" spans="1:2" s="292" customFormat="1" hidden="1">
      <c r="A119" s="362"/>
    </row>
    <row r="120" spans="1:2" s="292" customFormat="1" hidden="1">
      <c r="A120" s="362"/>
    </row>
    <row r="121" spans="1:2" s="292" customFormat="1" hidden="1">
      <c r="A121" s="362"/>
    </row>
    <row r="122" spans="1:2" s="292" customFormat="1" hidden="1">
      <c r="A122" s="362"/>
    </row>
    <row r="123" spans="1:2" s="292" customFormat="1" hidden="1">
      <c r="A123" s="362"/>
    </row>
    <row r="124" spans="1:2" s="292" customFormat="1" hidden="1">
      <c r="A124" s="362"/>
    </row>
    <row r="125" spans="1:2" s="292" customFormat="1" hidden="1">
      <c r="A125" s="362"/>
    </row>
    <row r="126" spans="1:2" s="292" customFormat="1" hidden="1">
      <c r="A126" s="362"/>
    </row>
    <row r="127" spans="1:2" s="292" customFormat="1" hidden="1">
      <c r="A127" s="362"/>
    </row>
    <row r="128" spans="1:2" s="292" customFormat="1" hidden="1">
      <c r="A128" s="362"/>
    </row>
    <row r="129" spans="1:2" s="292" customFormat="1" hidden="1">
      <c r="A129" s="362"/>
    </row>
    <row r="130" spans="1:2" s="292" customFormat="1" hidden="1">
      <c r="A130" s="362"/>
    </row>
    <row r="131" spans="1:2" s="292" customFormat="1" hidden="1">
      <c r="A131" s="362"/>
    </row>
    <row r="132" spans="1:2" s="292" customFormat="1" hidden="1">
      <c r="A132" s="362"/>
    </row>
    <row r="133" spans="1:2" s="292" customFormat="1" hidden="1">
      <c r="A133" s="362"/>
    </row>
    <row r="134" spans="1:2" s="292" customFormat="1" hidden="1">
      <c r="A134" s="362"/>
    </row>
    <row r="135" spans="1:2" s="292" customFormat="1" hidden="1">
      <c r="A135" s="362"/>
    </row>
    <row r="136" spans="1:2" hidden="1">
      <c r="B136" s="292"/>
    </row>
    <row r="137" spans="1:2" hidden="1">
      <c r="B137" s="292"/>
    </row>
    <row r="138" spans="1:2" ht="12.75" hidden="1" customHeight="1"/>
    <row r="139" spans="1:2" hidden="1">
      <c r="B139" s="363"/>
    </row>
  </sheetData>
  <sheetProtection password="CDA3" sheet="1" objects="1" scenarios="1"/>
  <mergeCells count="2">
    <mergeCell ref="A2:B2"/>
    <mergeCell ref="A3:B3"/>
  </mergeCells>
  <hyperlinks>
    <hyperlink ref="B7" location="'Information &amp; Rules exmpt,Ded'!B73:B80" display="Some Exempted Income ( to be shown while Return filing) "/>
    <hyperlink ref="B9" location="'Information &amp; Rules exmpt,Ded'!B82" display="HRA exemption "/>
    <hyperlink ref="B10" location="'Information &amp; Rules exmpt,Ded'!B83" display="Transport allowance"/>
    <hyperlink ref="B11" location="'Information &amp; Rules exmpt,Ded'!B84" display="Reimbursement of Medical bills "/>
    <hyperlink ref="B12" location="'Information &amp; Rules exmpt,Ded'!B85" display=" u/s(5) LTA is exempt "/>
    <hyperlink ref="B13" location="'Information &amp; Rules exmpt,Ded'!B86:B87" display=" u/s 24  Exemption for interest on housing loan."/>
    <hyperlink ref="B14" location="'Information &amp; Rules exmpt,Ded'!B88:B89" display="u/s 80CCE  &amp; 80CCD Maximum Exemption "/>
    <hyperlink ref="B16" location="'Information &amp; Rules exmpt,Ded'!B91" display="u/s 80D Medical Insurance"/>
    <hyperlink ref="B17" location="'Information &amp; Rules exmpt,Ded'!B92" display="u/s 80DD Deduction in respect of medical treatment of handicapped dependents"/>
    <hyperlink ref="B18" location="'Information &amp; Rules exmpt,Ded'!B93" display="u/s 80DDB Deduction in respect of medical treatment for specified ailments or diseases"/>
    <hyperlink ref="B19" location="'Information &amp; Rules exmpt,Ded'!B94" display="u/s 80E Interest repayment on education loan"/>
    <hyperlink ref="B20" location="'Information &amp; Rules exmpt,Ded'!B95" display="u/s 80G Donations given for certain charities "/>
    <hyperlink ref="B21" location="'Information &amp; Rules exmpt,Ded'!B96" display="u/s 80GG If you are not getting  HRA,  but living in rented house,"/>
    <hyperlink ref="B22" location="'Information &amp; Rules exmpt,Ded'!B97" display="u/s 80U If you have a permanent physical disability "/>
    <hyperlink ref="B24" location="'Information &amp; Rules exmpt,Ded'!B99:B112" display=" KNOW MORE about DEDUCTION under Section 80-C"/>
    <hyperlink ref="B25" location="'Information &amp; Rules exmpt,Ded'!B101:B112" display="Qualifying Investments u/s 80CCE"/>
    <hyperlink ref="B26" location="'Information &amp; Rules exmpt,Ded'!B102" display="Provident Fund (PF) &amp; Voluntary Provident Fund (VPF) "/>
    <hyperlink ref="B27" location="'Information &amp; Rules exmpt,Ded'!B103" display="Life Insurance Premiums &amp; Unit linked Insurance Plan (ULIP)"/>
    <hyperlink ref="B28" location="'Information &amp; Rules exmpt,Ded'!B104" display="Public Provident Fund (PPF):"/>
    <hyperlink ref="B29" location="'Information &amp; Rules exmpt,Ded'!B105" display="National Savings Certificate (NSC):"/>
    <hyperlink ref="B30" location="'Information &amp; Rules exmpt,Ded'!B106" display="Home Loan Principal Repayment &amp; Stamp Duty and Registration Charges for a home "/>
    <hyperlink ref="B31" location="'Information &amp; Rules exmpt,Ded'!B107" display="Tuition  fees  for 2 children "/>
    <hyperlink ref="B32" location="'Information &amp; Rules exmpt,Ded'!B108" display="Equity Linked Savings Scheme (ELSS)"/>
    <hyperlink ref="B33" location="'Information &amp; Rules exmpt,Ded'!B109" display="5-Yr bank fixed deposits (FDs)  or 5-Yr post office time deposit (POTD)"/>
    <hyperlink ref="B34" location="'Information &amp; Rules exmpt,Ded'!B110" display="Pension Funds or Pension Policies "/>
    <hyperlink ref="B35" location="'Information &amp; Rules exmpt,Ded'!B113" display="Sukanya Samridhi Account"/>
    <hyperlink ref="B36" location="'Information &amp; Rules exmpt,Ded'!B111" display="Infrastructure Bonds: NABARD rural bonds:"/>
    <hyperlink ref="B37" location="'Information &amp; Rules exmpt,Ded'!B112" display="Senior Citizen Savings Scheme 2004 (SCSS)"/>
    <hyperlink ref="B38" location="'Information &amp; Rules exmpt,Ded'!B113:B114" display="I M P O R T A N T -  A D V I S ES"/>
    <hyperlink ref="B6" location="'Information &amp; Rules exmpt,Ded'!B67:B72" display="Some  Exempted Receipts / Special allowances &amp;  Perquisite which are not chargable to tax"/>
    <hyperlink ref="B117" location="'Information &amp; Rules exmpt,Ded'!B1" display="                                                                                               1577 SECTOR-5 R.K.PURAM NEW DELHI-110022                                                GO UP"/>
    <hyperlink ref="B5" location="'Information &amp; Rules exmpt,Ded'!B39:B66" display=" Tax  Rates  for Financial-Year 2013-14, Assessment Year  2014-2015"/>
    <hyperlink ref="B15" location="'Information &amp; Rules exmpt,Ded'!B90" display="Rajiv Gandhi Equity Savings Scheme "/>
    <hyperlink ref="B23" location="'Information &amp; Rules exmpt,Ded'!B98" display="u/s 80TTA Deduction on interest on saving bank accounts."/>
  </hyperlinks>
  <pageMargins left="0.74791666666666667" right="0.74791666666666667" top="0.98402777777777772" bottom="0.98402777777777772" header="0.51180555555555551" footer="0.51180555555555551"/>
  <pageSetup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139"/>
  <sheetViews>
    <sheetView workbookViewId="0">
      <selection activeCell="D20" sqref="D20"/>
    </sheetView>
  </sheetViews>
  <sheetFormatPr defaultColWidth="9.140625" defaultRowHeight="15" zeroHeight="1"/>
  <cols>
    <col min="1" max="1" width="1.7109375" customWidth="1"/>
    <col min="2" max="2" width="81.28515625" customWidth="1"/>
    <col min="3" max="3" width="26.85546875" style="100" customWidth="1"/>
    <col min="4" max="4" width="24.42578125" style="41" customWidth="1"/>
    <col min="5" max="5" width="3.5703125" customWidth="1"/>
    <col min="6" max="6" width="10.7109375" customWidth="1"/>
    <col min="7" max="7" width="8.7109375" customWidth="1"/>
    <col min="8" max="8" width="9" customWidth="1"/>
    <col min="9" max="9" width="15.42578125" customWidth="1"/>
    <col min="10" max="12" width="20.28515625" customWidth="1"/>
    <col min="13" max="13" width="3.7109375" customWidth="1"/>
    <col min="14" max="16380" width="9.140625" customWidth="1"/>
    <col min="16381" max="16384" width="1.85546875" customWidth="1"/>
  </cols>
  <sheetData>
    <row r="1" spans="1:13" ht="12" customHeight="1">
      <c r="A1" s="40"/>
      <c r="B1" s="40"/>
      <c r="C1" s="99"/>
      <c r="D1" s="53"/>
      <c r="E1" s="25"/>
      <c r="F1" s="178"/>
      <c r="G1" s="178"/>
      <c r="H1" s="178"/>
      <c r="I1" s="178"/>
      <c r="J1" s="178"/>
      <c r="K1" s="178"/>
      <c r="L1" s="178"/>
      <c r="M1" s="179"/>
    </row>
    <row r="2" spans="1:13" s="78" customFormat="1" ht="20.25" customHeight="1">
      <c r="A2" s="40"/>
      <c r="B2" s="414" t="s">
        <v>467</v>
      </c>
      <c r="C2" s="415"/>
      <c r="D2" s="416"/>
      <c r="E2" s="25"/>
      <c r="F2" s="437">
        <f ca="1">TODAY()</f>
        <v>43031</v>
      </c>
      <c r="G2" s="437"/>
      <c r="H2" s="437"/>
      <c r="I2" s="395"/>
      <c r="J2" s="395"/>
      <c r="K2" s="177"/>
      <c r="L2" s="177"/>
      <c r="M2" s="179"/>
    </row>
    <row r="3" spans="1:13" ht="26.25" customHeight="1">
      <c r="A3" s="40"/>
      <c r="B3" s="439" t="s">
        <v>339</v>
      </c>
      <c r="C3" s="440"/>
      <c r="D3" s="440"/>
      <c r="E3" s="25"/>
      <c r="F3" s="435"/>
      <c r="G3" s="435"/>
      <c r="H3" s="436"/>
      <c r="I3" s="412" t="s">
        <v>256</v>
      </c>
      <c r="J3" s="413"/>
      <c r="K3" s="413"/>
      <c r="L3" s="413"/>
      <c r="M3" s="179"/>
    </row>
    <row r="4" spans="1:13" s="78" customFormat="1" ht="26.25" customHeight="1">
      <c r="A4" s="40"/>
      <c r="B4" s="417" t="s">
        <v>321</v>
      </c>
      <c r="C4" s="417"/>
      <c r="D4" s="418"/>
      <c r="E4" s="25"/>
      <c r="F4" s="119"/>
      <c r="G4" s="119"/>
      <c r="H4" s="119"/>
      <c r="I4" s="119"/>
      <c r="J4" s="119"/>
      <c r="K4" s="119"/>
      <c r="L4" s="119"/>
      <c r="M4" s="179"/>
    </row>
    <row r="5" spans="1:13" ht="20.25" customHeight="1" thickBot="1">
      <c r="A5" s="40"/>
      <c r="B5" s="245" t="s">
        <v>466</v>
      </c>
      <c r="C5" s="443" t="s">
        <v>207</v>
      </c>
      <c r="D5" s="444"/>
      <c r="E5" s="25"/>
      <c r="F5" s="438" t="s">
        <v>330</v>
      </c>
      <c r="G5" s="438"/>
      <c r="H5" s="438"/>
      <c r="I5" s="438"/>
      <c r="J5" s="442" t="s">
        <v>334</v>
      </c>
      <c r="K5" s="442"/>
      <c r="L5" s="254"/>
      <c r="M5" s="179"/>
    </row>
    <row r="6" spans="1:13" ht="30" customHeight="1" thickBot="1">
      <c r="A6" s="40"/>
      <c r="B6" s="441" t="s">
        <v>287</v>
      </c>
      <c r="C6" s="441"/>
      <c r="D6" s="441"/>
      <c r="E6" s="25"/>
      <c r="F6" s="175"/>
      <c r="G6" s="175"/>
      <c r="H6" s="175"/>
      <c r="I6" s="175"/>
      <c r="J6" s="176"/>
      <c r="K6" s="445"/>
      <c r="L6" s="446"/>
      <c r="M6" s="179"/>
    </row>
    <row r="7" spans="1:13" ht="19.5" customHeight="1" thickBot="1">
      <c r="A7" s="40"/>
      <c r="B7" s="424" t="s">
        <v>128</v>
      </c>
      <c r="C7" s="425"/>
      <c r="D7" s="425"/>
      <c r="E7" s="25"/>
      <c r="F7" s="426" t="s">
        <v>288</v>
      </c>
      <c r="G7" s="427"/>
      <c r="H7" s="427"/>
      <c r="I7" s="427"/>
      <c r="J7" s="427"/>
      <c r="K7" s="427"/>
      <c r="L7" s="427"/>
      <c r="M7" s="179"/>
    </row>
    <row r="8" spans="1:13" s="78" customFormat="1" ht="19.5" customHeight="1" thickBot="1">
      <c r="A8" s="40"/>
      <c r="B8" s="199" t="s">
        <v>261</v>
      </c>
      <c r="C8" s="203" t="s">
        <v>461</v>
      </c>
      <c r="D8" s="197"/>
      <c r="E8" s="25"/>
      <c r="F8" s="422" t="s">
        <v>286</v>
      </c>
      <c r="G8" s="423"/>
      <c r="H8" s="423"/>
      <c r="I8" s="423"/>
      <c r="J8" s="423"/>
      <c r="K8" s="423"/>
      <c r="L8" s="423"/>
      <c r="M8" s="179"/>
    </row>
    <row r="9" spans="1:13" s="78" customFormat="1" ht="19.5" customHeight="1">
      <c r="A9" s="40"/>
      <c r="B9" s="200" t="s">
        <v>87</v>
      </c>
      <c r="C9" s="204" t="s">
        <v>456</v>
      </c>
      <c r="D9" s="205"/>
      <c r="E9" s="25"/>
      <c r="F9" s="428" t="s">
        <v>252</v>
      </c>
      <c r="G9" s="429"/>
      <c r="H9" s="429"/>
      <c r="I9" s="430"/>
      <c r="J9" s="431">
        <v>26339</v>
      </c>
      <c r="K9" s="432"/>
      <c r="L9" s="432"/>
      <c r="M9" s="179"/>
    </row>
    <row r="10" spans="1:13" ht="20.25" customHeight="1">
      <c r="A10" s="40"/>
      <c r="B10" s="201" t="s">
        <v>262</v>
      </c>
      <c r="C10" s="203" t="s">
        <v>470</v>
      </c>
      <c r="D10" s="206"/>
      <c r="E10" s="25"/>
      <c r="F10" s="409" t="s">
        <v>87</v>
      </c>
      <c r="G10" s="410"/>
      <c r="H10" s="410"/>
      <c r="I10" s="411"/>
      <c r="J10" s="400" t="s">
        <v>295</v>
      </c>
      <c r="K10" s="401"/>
      <c r="L10" s="401"/>
      <c r="M10" s="179"/>
    </row>
    <row r="11" spans="1:13" s="78" customFormat="1" ht="20.25" customHeight="1">
      <c r="A11" s="40"/>
      <c r="B11" s="198" t="s">
        <v>472</v>
      </c>
      <c r="C11" s="421" t="s">
        <v>471</v>
      </c>
      <c r="D11" s="421"/>
      <c r="E11" s="25"/>
      <c r="F11" s="409" t="s">
        <v>130</v>
      </c>
      <c r="G11" s="410"/>
      <c r="H11" s="410"/>
      <c r="I11" s="411"/>
      <c r="J11" s="433" t="s">
        <v>296</v>
      </c>
      <c r="K11" s="434"/>
      <c r="L11" s="434"/>
      <c r="M11" s="179"/>
    </row>
    <row r="12" spans="1:13" ht="18" customHeight="1">
      <c r="A12" s="40"/>
      <c r="B12" s="260" t="s">
        <v>13</v>
      </c>
      <c r="C12" s="120" t="s">
        <v>308</v>
      </c>
      <c r="D12" s="447"/>
      <c r="E12" s="25"/>
      <c r="F12" s="409" t="s">
        <v>468</v>
      </c>
      <c r="G12" s="410"/>
      <c r="H12" s="410"/>
      <c r="I12" s="411"/>
      <c r="J12" s="400" t="s">
        <v>297</v>
      </c>
      <c r="K12" s="401"/>
      <c r="L12" s="401"/>
      <c r="M12" s="179"/>
    </row>
    <row r="13" spans="1:13" ht="20.25" customHeight="1" thickBot="1">
      <c r="A13" s="40"/>
      <c r="B13" s="261" t="s">
        <v>14</v>
      </c>
      <c r="C13" s="121" t="s">
        <v>307</v>
      </c>
      <c r="D13" s="448"/>
      <c r="E13" s="25"/>
      <c r="F13" s="409" t="s">
        <v>131</v>
      </c>
      <c r="G13" s="410"/>
      <c r="H13" s="410"/>
      <c r="I13" s="411"/>
      <c r="J13" s="402" t="s">
        <v>258</v>
      </c>
      <c r="K13" s="403"/>
      <c r="L13" s="403"/>
      <c r="M13" s="179"/>
    </row>
    <row r="14" spans="1:13" ht="25.5" customHeight="1" thickTop="1" thickBot="1">
      <c r="A14" s="40"/>
      <c r="B14" s="202" t="str">
        <f>"Mr."&amp;'G.A. 55'!D4&amp;" Your Basic Pay in March 2017"</f>
        <v>Mr.VIJAY RANWA Your Basic Pay in March 2017</v>
      </c>
      <c r="C14" s="207">
        <v>17900</v>
      </c>
      <c r="D14" s="451" t="s">
        <v>140</v>
      </c>
      <c r="E14" s="25"/>
      <c r="F14" s="409" t="s">
        <v>129</v>
      </c>
      <c r="G14" s="410"/>
      <c r="H14" s="410"/>
      <c r="I14" s="411"/>
      <c r="J14" s="400" t="s">
        <v>298</v>
      </c>
      <c r="K14" s="401"/>
      <c r="L14" s="401"/>
      <c r="M14" s="179"/>
    </row>
    <row r="15" spans="1:13" s="78" customFormat="1" ht="25.5" customHeight="1" thickTop="1" thickBot="1">
      <c r="A15" s="40"/>
      <c r="B15" s="262" t="s">
        <v>340</v>
      </c>
      <c r="C15" s="240">
        <v>4200</v>
      </c>
      <c r="D15" s="452"/>
      <c r="E15" s="25"/>
      <c r="F15" s="409" t="s">
        <v>133</v>
      </c>
      <c r="G15" s="410"/>
      <c r="H15" s="410"/>
      <c r="I15" s="411"/>
      <c r="J15" s="365"/>
      <c r="K15" s="366"/>
      <c r="L15" s="366"/>
      <c r="M15" s="179"/>
    </row>
    <row r="16" spans="1:13" ht="20.25" customHeight="1" thickTop="1" thickBot="1">
      <c r="A16" s="40"/>
      <c r="B16" s="154" t="s">
        <v>263</v>
      </c>
      <c r="C16" s="239"/>
      <c r="D16" s="452"/>
      <c r="E16" s="25"/>
      <c r="F16" s="409" t="s">
        <v>132</v>
      </c>
      <c r="G16" s="410"/>
      <c r="H16" s="410"/>
      <c r="I16" s="411"/>
      <c r="J16" s="365" t="s">
        <v>259</v>
      </c>
      <c r="K16" s="366"/>
      <c r="L16" s="366"/>
      <c r="M16" s="179"/>
    </row>
    <row r="17" spans="1:20" ht="23.25" customHeight="1" thickTop="1">
      <c r="A17" s="40"/>
      <c r="B17" s="155" t="s">
        <v>264</v>
      </c>
      <c r="C17" s="128">
        <v>2650</v>
      </c>
      <c r="D17" s="453"/>
      <c r="E17" s="25"/>
      <c r="F17" s="409" t="s">
        <v>31</v>
      </c>
      <c r="G17" s="410"/>
      <c r="H17" s="410"/>
      <c r="I17" s="411"/>
      <c r="J17" s="400"/>
      <c r="K17" s="401"/>
      <c r="L17" s="401"/>
      <c r="M17" s="179"/>
    </row>
    <row r="18" spans="1:20" ht="19.5" customHeight="1">
      <c r="A18" s="40"/>
      <c r="B18" s="156" t="s">
        <v>151</v>
      </c>
      <c r="C18" s="122"/>
      <c r="D18" s="140">
        <f>'Partial HRA'!J14</f>
        <v>74067</v>
      </c>
      <c r="E18" s="25"/>
      <c r="F18" s="454" t="s">
        <v>576</v>
      </c>
      <c r="G18" s="454"/>
      <c r="H18" s="454"/>
      <c r="I18" s="454"/>
      <c r="J18" s="454"/>
      <c r="K18" s="454"/>
      <c r="L18" s="455"/>
      <c r="M18" s="179"/>
    </row>
    <row r="19" spans="1:20" s="78" customFormat="1" ht="19.5" customHeight="1">
      <c r="A19" s="40"/>
      <c r="B19" s="196" t="s">
        <v>473</v>
      </c>
      <c r="C19" s="236">
        <v>0</v>
      </c>
      <c r="D19" s="140"/>
      <c r="E19" s="25"/>
      <c r="F19" s="454"/>
      <c r="G19" s="454"/>
      <c r="H19" s="454"/>
      <c r="I19" s="454"/>
      <c r="J19" s="454"/>
      <c r="K19" s="454"/>
      <c r="L19" s="455"/>
      <c r="M19" s="179"/>
    </row>
    <row r="20" spans="1:20" ht="19.5" customHeight="1">
      <c r="A20" s="40"/>
      <c r="B20" s="154" t="s">
        <v>265</v>
      </c>
      <c r="C20" s="122">
        <v>5000</v>
      </c>
      <c r="D20" s="140" t="str">
        <f>CONCATENATE(ROUND(D18/12, 0),"/-  Monthly")</f>
        <v>6172/-  Monthly</v>
      </c>
      <c r="E20" s="25"/>
      <c r="F20" s="454"/>
      <c r="G20" s="454"/>
      <c r="H20" s="454"/>
      <c r="I20" s="454"/>
      <c r="J20" s="454"/>
      <c r="K20" s="454"/>
      <c r="L20" s="455"/>
      <c r="M20" s="179"/>
    </row>
    <row r="21" spans="1:20" ht="21" customHeight="1">
      <c r="A21" s="40"/>
      <c r="B21" s="157" t="s">
        <v>15</v>
      </c>
      <c r="C21" s="122"/>
      <c r="D21" s="140">
        <f>IF((C20*12)&gt;('G.A. 55'!C26+'G.A. 55'!D26)*10%, MIN(ROUND(C20*12-('G.A. 55'!C26+'G.A. 55'!D26)*10%,0),D25),0)</f>
        <v>7702</v>
      </c>
      <c r="E21" s="25"/>
      <c r="F21" s="404"/>
      <c r="G21" s="405"/>
      <c r="H21" s="405"/>
      <c r="I21" s="406"/>
      <c r="J21" s="407"/>
      <c r="K21" s="408"/>
      <c r="L21" s="408"/>
      <c r="M21" s="179"/>
    </row>
    <row r="22" spans="1:20" ht="21" customHeight="1">
      <c r="A22" s="40"/>
      <c r="B22" s="156" t="s">
        <v>266</v>
      </c>
      <c r="C22" s="122"/>
      <c r="D22" s="251"/>
      <c r="E22" s="25"/>
      <c r="F22" s="419" t="s">
        <v>331</v>
      </c>
      <c r="G22" s="420"/>
      <c r="H22" s="420"/>
      <c r="I22" s="420"/>
      <c r="J22" s="420"/>
      <c r="K22" s="420"/>
      <c r="L22" s="420"/>
      <c r="M22" s="179"/>
      <c r="N22" s="78"/>
      <c r="O22" s="78"/>
      <c r="P22" s="78"/>
      <c r="Q22" s="78"/>
      <c r="R22" s="78"/>
      <c r="S22" s="78"/>
      <c r="T22" s="78"/>
    </row>
    <row r="23" spans="1:20" s="78" customFormat="1" ht="21" customHeight="1">
      <c r="A23" s="40"/>
      <c r="B23" s="252" t="s">
        <v>462</v>
      </c>
      <c r="C23" s="130"/>
      <c r="D23" s="251"/>
      <c r="E23" s="25"/>
      <c r="F23" s="419"/>
      <c r="G23" s="420"/>
      <c r="H23" s="420"/>
      <c r="I23" s="420"/>
      <c r="J23" s="420"/>
      <c r="K23" s="420"/>
      <c r="L23" s="420"/>
      <c r="M23" s="179"/>
    </row>
    <row r="24" spans="1:20" ht="21.75" thickBot="1">
      <c r="A24" s="40"/>
      <c r="B24" s="158" t="s">
        <v>267</v>
      </c>
      <c r="C24" s="123"/>
      <c r="D24" s="141" t="s">
        <v>156</v>
      </c>
      <c r="E24" s="25"/>
      <c r="F24" s="419"/>
      <c r="G24" s="420"/>
      <c r="H24" s="420"/>
      <c r="I24" s="420"/>
      <c r="J24" s="420"/>
      <c r="K24" s="420"/>
      <c r="L24" s="420"/>
      <c r="M24" s="179"/>
      <c r="N24" s="78"/>
      <c r="O24" s="78"/>
      <c r="P24" s="78"/>
      <c r="Q24" s="78"/>
      <c r="R24" s="78"/>
      <c r="S24" s="78"/>
      <c r="T24" s="78"/>
    </row>
    <row r="25" spans="1:20" ht="27" thickTop="1" thickBot="1">
      <c r="A25" s="40"/>
      <c r="B25" s="449" t="s">
        <v>148</v>
      </c>
      <c r="C25" s="450"/>
      <c r="D25" s="142">
        <f>'G.A. 55'!E26</f>
        <v>21912</v>
      </c>
      <c r="E25" s="25"/>
      <c r="F25" s="419"/>
      <c r="G25" s="420"/>
      <c r="H25" s="420"/>
      <c r="I25" s="420"/>
      <c r="J25" s="420"/>
      <c r="K25" s="420"/>
      <c r="L25" s="420"/>
      <c r="M25" s="179"/>
      <c r="N25" s="78"/>
      <c r="O25" s="78"/>
      <c r="P25" s="78"/>
      <c r="Q25" s="78"/>
      <c r="R25" s="78"/>
      <c r="S25" s="78"/>
      <c r="T25" s="78"/>
    </row>
    <row r="26" spans="1:20" ht="21.75" thickTop="1">
      <c r="A26" s="40"/>
      <c r="B26" s="159" t="s">
        <v>135</v>
      </c>
      <c r="C26" s="124"/>
      <c r="D26" s="143">
        <f>C20*12</f>
        <v>60000</v>
      </c>
      <c r="E26" s="25"/>
      <c r="F26" s="189"/>
      <c r="G26" s="189"/>
      <c r="H26" s="189"/>
      <c r="I26" s="189"/>
      <c r="J26" s="189"/>
      <c r="K26" s="189"/>
      <c r="L26" s="189"/>
      <c r="M26" s="179"/>
      <c r="N26" s="78"/>
      <c r="O26" s="78"/>
      <c r="P26" s="78"/>
      <c r="Q26" s="78"/>
      <c r="R26" s="78"/>
      <c r="S26" s="78"/>
      <c r="T26" s="78"/>
    </row>
    <row r="27" spans="1:20" ht="21" customHeight="1">
      <c r="A27" s="40"/>
      <c r="B27" s="160" t="s">
        <v>136</v>
      </c>
      <c r="C27" s="125"/>
      <c r="D27" s="144" t="s">
        <v>157</v>
      </c>
      <c r="E27" s="25"/>
      <c r="F27" s="396" t="s">
        <v>299</v>
      </c>
      <c r="G27" s="397"/>
      <c r="H27" s="397"/>
      <c r="I27" s="397"/>
      <c r="J27" s="397"/>
      <c r="K27" s="397"/>
      <c r="L27" s="397"/>
      <c r="M27" s="179"/>
      <c r="N27" s="78"/>
      <c r="O27" s="78"/>
      <c r="P27" s="78"/>
      <c r="Q27" s="78"/>
      <c r="R27" s="78"/>
      <c r="S27" s="78"/>
      <c r="T27" s="78"/>
    </row>
    <row r="28" spans="1:20" ht="21">
      <c r="A28" s="40"/>
      <c r="B28" s="161" t="s">
        <v>137</v>
      </c>
      <c r="C28" s="125"/>
      <c r="D28" s="144">
        <f>'G.A. 55'!I26</f>
        <v>52294</v>
      </c>
      <c r="E28" s="25"/>
      <c r="F28" s="396"/>
      <c r="G28" s="397"/>
      <c r="H28" s="397"/>
      <c r="I28" s="397"/>
      <c r="J28" s="397"/>
      <c r="K28" s="397"/>
      <c r="L28" s="397"/>
      <c r="M28" s="179"/>
      <c r="N28" s="78"/>
      <c r="O28" s="78"/>
      <c r="P28" s="78"/>
      <c r="Q28" s="78"/>
      <c r="R28" s="78"/>
      <c r="S28" s="78"/>
      <c r="T28" s="78"/>
    </row>
    <row r="29" spans="1:20" ht="21">
      <c r="A29" s="40"/>
      <c r="B29" s="162" t="s">
        <v>149</v>
      </c>
      <c r="C29" s="125"/>
      <c r="D29" s="145">
        <f>IF(C29&lt;10001, C29, 10000)</f>
        <v>0</v>
      </c>
      <c r="E29" s="25"/>
      <c r="F29" s="396"/>
      <c r="G29" s="397"/>
      <c r="H29" s="397"/>
      <c r="I29" s="397"/>
      <c r="J29" s="397"/>
      <c r="K29" s="397"/>
      <c r="L29" s="397"/>
      <c r="M29" s="179"/>
      <c r="N29" s="78"/>
      <c r="O29" s="78"/>
      <c r="P29" s="78"/>
      <c r="Q29" s="78"/>
      <c r="R29" s="78"/>
      <c r="S29" s="78"/>
      <c r="T29" s="78"/>
    </row>
    <row r="30" spans="1:20" ht="21">
      <c r="A30" s="40"/>
      <c r="B30" s="161" t="s">
        <v>268</v>
      </c>
      <c r="C30" s="126"/>
      <c r="D30" s="146"/>
      <c r="E30" s="25"/>
      <c r="F30" s="188"/>
      <c r="G30" s="188"/>
      <c r="H30" s="188"/>
      <c r="I30" s="188"/>
      <c r="J30" s="188"/>
      <c r="K30" s="188"/>
      <c r="L30" s="188"/>
      <c r="M30" s="179"/>
      <c r="N30" s="78"/>
      <c r="O30" s="78"/>
      <c r="P30" s="78"/>
      <c r="Q30" s="78"/>
      <c r="R30" s="78"/>
      <c r="S30" s="78"/>
      <c r="T30" s="78"/>
    </row>
    <row r="31" spans="1:20" ht="21" customHeight="1">
      <c r="A31" s="40"/>
      <c r="B31" s="163" t="s">
        <v>269</v>
      </c>
      <c r="C31" s="125"/>
      <c r="D31" s="208" t="s">
        <v>139</v>
      </c>
      <c r="E31" s="25"/>
      <c r="F31" s="398" t="s">
        <v>260</v>
      </c>
      <c r="G31" s="398"/>
      <c r="H31" s="398"/>
      <c r="I31" s="398"/>
      <c r="J31" s="398"/>
      <c r="K31" s="398"/>
      <c r="L31" s="398"/>
      <c r="M31" s="179"/>
      <c r="N31" s="78"/>
      <c r="O31" s="78"/>
      <c r="P31" s="78"/>
      <c r="Q31" s="78"/>
      <c r="R31" s="78"/>
      <c r="S31" s="78"/>
      <c r="T31" s="78"/>
    </row>
    <row r="32" spans="1:20" ht="21.75" thickBot="1">
      <c r="A32" s="40"/>
      <c r="B32" s="164" t="s">
        <v>11</v>
      </c>
      <c r="C32" s="127"/>
      <c r="D32" s="147">
        <f>'G.A. 55'!R26</f>
        <v>0</v>
      </c>
      <c r="E32" s="25"/>
      <c r="F32" s="398"/>
      <c r="G32" s="398"/>
      <c r="H32" s="398"/>
      <c r="I32" s="398"/>
      <c r="J32" s="398"/>
      <c r="K32" s="398"/>
      <c r="L32" s="398"/>
      <c r="M32" s="179"/>
      <c r="N32" s="78"/>
      <c r="O32" s="78"/>
      <c r="P32" s="78"/>
      <c r="Q32" s="78"/>
      <c r="R32" s="78"/>
      <c r="S32" s="78"/>
      <c r="T32" s="78"/>
    </row>
    <row r="33" spans="1:22" ht="27.75" thickTop="1" thickBot="1">
      <c r="A33" s="40"/>
      <c r="B33" s="458" t="s">
        <v>150</v>
      </c>
      <c r="C33" s="459"/>
      <c r="D33" s="148"/>
      <c r="E33" s="25"/>
      <c r="F33" s="187"/>
      <c r="G33" s="187"/>
      <c r="H33" s="187"/>
      <c r="I33" s="187"/>
      <c r="J33" s="187"/>
      <c r="K33" s="187"/>
      <c r="L33" s="187"/>
      <c r="M33" s="179"/>
      <c r="N33" s="78"/>
      <c r="O33" s="78"/>
      <c r="P33" s="78"/>
      <c r="Q33" s="78"/>
      <c r="R33" s="78"/>
      <c r="S33" s="78"/>
      <c r="T33" s="78"/>
    </row>
    <row r="34" spans="1:22" ht="21.75" customHeight="1" thickTop="1">
      <c r="A34" s="40"/>
      <c r="B34" s="165" t="s">
        <v>152</v>
      </c>
      <c r="C34" s="128"/>
      <c r="D34" s="149"/>
      <c r="E34" s="25"/>
      <c r="F34" s="399" t="s">
        <v>285</v>
      </c>
      <c r="G34" s="399"/>
      <c r="H34" s="399"/>
      <c r="I34" s="399"/>
      <c r="J34" s="399"/>
      <c r="K34" s="399"/>
      <c r="L34" s="399"/>
      <c r="M34" s="179"/>
      <c r="N34" s="78"/>
      <c r="O34" s="78"/>
      <c r="P34" s="78"/>
      <c r="Q34" s="78"/>
      <c r="R34" s="78"/>
      <c r="S34" s="78"/>
      <c r="T34" s="78"/>
    </row>
    <row r="35" spans="1:22" ht="21" customHeight="1">
      <c r="A35" s="40"/>
      <c r="B35" s="256" t="s">
        <v>153</v>
      </c>
      <c r="C35" s="129"/>
      <c r="D35" s="209" t="s">
        <v>196</v>
      </c>
      <c r="E35" s="25"/>
      <c r="F35" s="399"/>
      <c r="G35" s="399"/>
      <c r="H35" s="399"/>
      <c r="I35" s="399"/>
      <c r="J35" s="399"/>
      <c r="K35" s="399"/>
      <c r="L35" s="399"/>
      <c r="M35" s="179"/>
      <c r="N35" s="78"/>
      <c r="O35" s="78"/>
      <c r="P35" s="78"/>
      <c r="Q35" s="78"/>
      <c r="R35" s="78"/>
      <c r="S35" s="78"/>
      <c r="T35" s="78"/>
    </row>
    <row r="36" spans="1:22" ht="21">
      <c r="A36" s="40"/>
      <c r="B36" s="166" t="s">
        <v>37</v>
      </c>
      <c r="C36" s="129"/>
      <c r="D36" s="150">
        <f>COMPUTATION!M41</f>
        <v>459650</v>
      </c>
      <c r="E36" s="25"/>
      <c r="F36" s="399"/>
      <c r="G36" s="399"/>
      <c r="H36" s="399"/>
      <c r="I36" s="399"/>
      <c r="J36" s="399"/>
      <c r="K36" s="399"/>
      <c r="L36" s="399"/>
      <c r="M36" s="179"/>
      <c r="N36" s="78"/>
      <c r="O36" s="78"/>
      <c r="P36" s="78"/>
      <c r="Q36" s="78"/>
      <c r="R36" s="78"/>
      <c r="S36" s="78"/>
      <c r="T36" s="78"/>
    </row>
    <row r="37" spans="1:22" ht="21" customHeight="1">
      <c r="A37" s="40"/>
      <c r="B37" s="255" t="s">
        <v>155</v>
      </c>
      <c r="C37" s="122"/>
      <c r="D37" s="151"/>
      <c r="E37" s="25"/>
      <c r="F37" s="186"/>
      <c r="G37" s="186"/>
      <c r="H37" s="186"/>
      <c r="I37" s="186"/>
      <c r="J37" s="186"/>
      <c r="K37" s="186"/>
      <c r="L37" s="186"/>
      <c r="M37" s="179"/>
      <c r="N37" s="78"/>
      <c r="O37" s="78"/>
      <c r="P37" s="78"/>
      <c r="Q37" s="78"/>
      <c r="R37" s="78"/>
      <c r="S37" s="78"/>
      <c r="T37" s="78"/>
      <c r="U37" s="78"/>
      <c r="V37" s="78"/>
    </row>
    <row r="38" spans="1:22" ht="21" customHeight="1">
      <c r="A38" s="40"/>
      <c r="B38" s="165" t="s">
        <v>154</v>
      </c>
      <c r="C38" s="122"/>
      <c r="D38" s="152" t="s">
        <v>16</v>
      </c>
      <c r="E38" s="25"/>
      <c r="F38" s="462" t="s">
        <v>300</v>
      </c>
      <c r="G38" s="462"/>
      <c r="H38" s="462"/>
      <c r="I38" s="462"/>
      <c r="J38" s="462"/>
      <c r="K38" s="462"/>
      <c r="L38" s="462"/>
      <c r="M38" s="179"/>
      <c r="N38" s="78"/>
      <c r="O38" s="78"/>
      <c r="P38" s="78"/>
      <c r="Q38" s="78"/>
      <c r="R38" s="78"/>
      <c r="S38" s="78"/>
      <c r="T38" s="78"/>
    </row>
    <row r="39" spans="1:22" ht="20.25" customHeight="1">
      <c r="A39" s="40"/>
      <c r="B39" s="167" t="s">
        <v>270</v>
      </c>
      <c r="C39" s="122"/>
      <c r="D39" s="152" t="str">
        <f>COMPUTATION!G23</f>
        <v/>
      </c>
      <c r="E39" s="25"/>
      <c r="F39" s="463"/>
      <c r="G39" s="463"/>
      <c r="H39" s="463"/>
      <c r="I39" s="463"/>
      <c r="J39" s="463"/>
      <c r="K39" s="463"/>
      <c r="L39" s="463"/>
      <c r="M39" s="179"/>
      <c r="N39" s="78"/>
      <c r="O39" s="78"/>
      <c r="P39" s="78"/>
      <c r="Q39" s="78"/>
      <c r="R39" s="78"/>
      <c r="S39" s="78"/>
      <c r="T39" s="78"/>
    </row>
    <row r="40" spans="1:22" ht="24" customHeight="1">
      <c r="A40" s="40"/>
      <c r="B40" s="165" t="s">
        <v>146</v>
      </c>
      <c r="C40" s="122"/>
      <c r="D40" s="153"/>
      <c r="E40" s="25"/>
      <c r="F40" s="463"/>
      <c r="G40" s="463"/>
      <c r="H40" s="463"/>
      <c r="I40" s="463"/>
      <c r="J40" s="463"/>
      <c r="K40" s="463"/>
      <c r="L40" s="463"/>
      <c r="M40" s="179"/>
      <c r="N40" s="78"/>
      <c r="O40" s="78"/>
      <c r="P40" s="78"/>
      <c r="Q40" s="78"/>
      <c r="R40" s="78"/>
      <c r="S40" s="78"/>
      <c r="T40" s="78"/>
    </row>
    <row r="41" spans="1:22" ht="25.5" customHeight="1">
      <c r="A41" s="40"/>
      <c r="B41" s="257" t="s">
        <v>271</v>
      </c>
      <c r="C41" s="122"/>
      <c r="D41" s="140"/>
      <c r="E41" s="25"/>
      <c r="F41" s="463"/>
      <c r="G41" s="463"/>
      <c r="H41" s="463"/>
      <c r="I41" s="463"/>
      <c r="J41" s="463"/>
      <c r="K41" s="463"/>
      <c r="L41" s="463"/>
      <c r="M41" s="179"/>
      <c r="N41" s="78"/>
      <c r="O41" s="78"/>
      <c r="P41" s="78"/>
      <c r="Q41" s="78"/>
      <c r="R41" s="78"/>
      <c r="S41" s="78"/>
      <c r="T41" s="78"/>
    </row>
    <row r="42" spans="1:22" ht="21">
      <c r="A42" s="40"/>
      <c r="B42" s="255" t="s">
        <v>272</v>
      </c>
      <c r="C42" s="122"/>
      <c r="D42" s="140"/>
      <c r="E42" s="25"/>
      <c r="F42" s="185"/>
      <c r="G42" s="185"/>
      <c r="H42" s="185"/>
      <c r="I42" s="185"/>
      <c r="J42" s="185"/>
      <c r="K42" s="185"/>
      <c r="L42" s="185"/>
      <c r="M42" s="179"/>
      <c r="N42" s="78"/>
      <c r="O42" s="78"/>
      <c r="P42" s="78"/>
      <c r="Q42" s="78"/>
      <c r="R42" s="78"/>
      <c r="S42" s="78"/>
      <c r="T42" s="78"/>
    </row>
    <row r="43" spans="1:22" ht="21">
      <c r="A43" s="40"/>
      <c r="B43" s="165" t="s">
        <v>273</v>
      </c>
      <c r="C43" s="122"/>
      <c r="D43" s="149"/>
      <c r="E43" s="25"/>
      <c r="F43" s="230" t="s">
        <v>301</v>
      </c>
      <c r="G43" s="230"/>
      <c r="H43" s="230"/>
      <c r="I43" s="230"/>
      <c r="J43" s="230"/>
      <c r="K43" s="230"/>
      <c r="L43" s="231"/>
      <c r="M43" s="179"/>
      <c r="N43" s="78"/>
      <c r="O43" s="78"/>
      <c r="P43" s="78"/>
      <c r="Q43" s="78"/>
      <c r="R43" s="78"/>
      <c r="S43" s="78"/>
      <c r="T43" s="78"/>
    </row>
    <row r="44" spans="1:22" ht="20.25" customHeight="1">
      <c r="A44" s="40"/>
      <c r="B44" s="167" t="s">
        <v>581</v>
      </c>
      <c r="C44" s="122"/>
      <c r="D44" s="151"/>
      <c r="E44" s="25"/>
      <c r="F44" s="230"/>
      <c r="G44" s="230"/>
      <c r="H44" s="230"/>
      <c r="I44" s="230"/>
      <c r="J44" s="230"/>
      <c r="K44" s="230"/>
      <c r="L44" s="231"/>
      <c r="M44" s="179"/>
      <c r="N44" s="78"/>
      <c r="O44" s="78"/>
      <c r="P44" s="78"/>
      <c r="Q44" s="78"/>
      <c r="R44" s="78"/>
      <c r="S44" s="78"/>
      <c r="T44" s="78"/>
    </row>
    <row r="45" spans="1:22" ht="21">
      <c r="A45" s="40"/>
      <c r="B45" s="255" t="s">
        <v>274</v>
      </c>
      <c r="C45" s="122"/>
      <c r="D45" s="149"/>
      <c r="E45" s="25"/>
      <c r="F45" s="468" t="s">
        <v>329</v>
      </c>
      <c r="G45" s="468"/>
      <c r="H45" s="468"/>
      <c r="I45" s="468"/>
      <c r="J45" s="468"/>
      <c r="K45" s="468"/>
      <c r="L45" s="469"/>
      <c r="M45" s="179"/>
      <c r="N45" s="78"/>
      <c r="O45" s="78"/>
      <c r="P45" s="78"/>
      <c r="Q45" s="78"/>
      <c r="R45" s="78"/>
      <c r="S45" s="78"/>
      <c r="T45" s="78"/>
    </row>
    <row r="46" spans="1:22" ht="21">
      <c r="A46" s="40"/>
      <c r="B46" s="167" t="s">
        <v>275</v>
      </c>
      <c r="C46" s="122"/>
      <c r="D46" s="210" t="s">
        <v>12</v>
      </c>
      <c r="E46" s="25"/>
      <c r="F46" s="468"/>
      <c r="G46" s="468"/>
      <c r="H46" s="468"/>
      <c r="I46" s="468"/>
      <c r="J46" s="468"/>
      <c r="K46" s="468"/>
      <c r="L46" s="469"/>
      <c r="M46" s="179"/>
      <c r="N46" s="78"/>
      <c r="O46" s="78"/>
      <c r="P46" s="78"/>
      <c r="Q46" s="78"/>
      <c r="R46" s="78"/>
      <c r="S46" s="78"/>
      <c r="T46" s="78"/>
    </row>
    <row r="47" spans="1:22" ht="21" customHeight="1">
      <c r="A47" s="40"/>
      <c r="B47" s="165" t="s">
        <v>138</v>
      </c>
      <c r="C47" s="122"/>
      <c r="D47" s="210">
        <f>COMPUTATION!M4</f>
        <v>603964</v>
      </c>
      <c r="E47" s="25"/>
      <c r="F47" s="470" t="s">
        <v>225</v>
      </c>
      <c r="G47" s="470"/>
      <c r="H47" s="470"/>
      <c r="I47" s="470"/>
      <c r="J47" s="470"/>
      <c r="K47" s="470"/>
      <c r="L47" s="471"/>
      <c r="M47" s="179"/>
      <c r="N47" s="78"/>
      <c r="O47" s="78"/>
      <c r="P47" s="78"/>
      <c r="Q47" s="78"/>
      <c r="R47" s="78"/>
      <c r="S47" s="78"/>
      <c r="T47" s="78"/>
    </row>
    <row r="48" spans="1:22" ht="21">
      <c r="A48" s="40"/>
      <c r="B48" s="167" t="s">
        <v>35</v>
      </c>
      <c r="C48" s="122"/>
      <c r="D48" s="151"/>
      <c r="E48" s="25"/>
      <c r="F48" s="470"/>
      <c r="G48" s="470"/>
      <c r="H48" s="470"/>
      <c r="I48" s="470"/>
      <c r="J48" s="470"/>
      <c r="K48" s="470"/>
      <c r="L48" s="471"/>
      <c r="M48" s="179"/>
      <c r="N48" s="78"/>
      <c r="O48" s="78"/>
      <c r="P48" s="78"/>
      <c r="Q48" s="78"/>
      <c r="R48" s="78"/>
      <c r="S48" s="78"/>
      <c r="T48" s="78"/>
    </row>
    <row r="49" spans="1:20" s="78" customFormat="1" ht="21">
      <c r="A49" s="40"/>
      <c r="B49" s="184" t="s">
        <v>302</v>
      </c>
      <c r="C49" s="130"/>
      <c r="D49" s="149"/>
      <c r="E49" s="25"/>
      <c r="F49" s="470"/>
      <c r="G49" s="470"/>
      <c r="H49" s="470"/>
      <c r="I49" s="470"/>
      <c r="J49" s="470"/>
      <c r="K49" s="470"/>
      <c r="L49" s="471"/>
      <c r="M49" s="179"/>
    </row>
    <row r="50" spans="1:20" ht="21.75" thickBot="1">
      <c r="A50" s="40"/>
      <c r="B50" s="168" t="s">
        <v>147</v>
      </c>
      <c r="C50" s="131"/>
      <c r="D50" s="151"/>
      <c r="E50" s="25"/>
      <c r="F50" s="470"/>
      <c r="G50" s="470"/>
      <c r="H50" s="470"/>
      <c r="I50" s="470"/>
      <c r="J50" s="470"/>
      <c r="K50" s="470"/>
      <c r="L50" s="471"/>
      <c r="M50" s="179"/>
      <c r="N50" s="78"/>
      <c r="O50" s="78"/>
      <c r="P50" s="78"/>
      <c r="Q50" s="78"/>
      <c r="R50" s="78"/>
      <c r="S50" s="78"/>
      <c r="T50" s="78"/>
    </row>
    <row r="51" spans="1:20" s="78" customFormat="1" ht="21.75" hidden="1" thickTop="1">
      <c r="A51" s="40"/>
      <c r="B51" s="242"/>
      <c r="C51" s="241"/>
      <c r="D51" s="151"/>
      <c r="E51" s="25"/>
      <c r="F51" s="470"/>
      <c r="G51" s="470"/>
      <c r="H51" s="470"/>
      <c r="I51" s="470"/>
      <c r="J51" s="470"/>
      <c r="K51" s="470"/>
      <c r="L51" s="471"/>
      <c r="M51" s="179"/>
    </row>
    <row r="52" spans="1:20" ht="21.75" thickTop="1">
      <c r="A52" s="40"/>
      <c r="B52" s="169" t="s">
        <v>276</v>
      </c>
      <c r="C52" s="132"/>
      <c r="D52" s="149">
        <f>IF('G.A. 55'!E26&gt;0, 0,C52)</f>
        <v>0</v>
      </c>
      <c r="E52" s="25"/>
      <c r="F52" s="470"/>
      <c r="G52" s="470"/>
      <c r="H52" s="470"/>
      <c r="I52" s="470"/>
      <c r="J52" s="470"/>
      <c r="K52" s="470"/>
      <c r="L52" s="471"/>
      <c r="M52" s="179"/>
      <c r="N52" s="78"/>
      <c r="O52" s="78"/>
      <c r="P52" s="78"/>
      <c r="Q52" s="78"/>
      <c r="R52" s="78"/>
      <c r="S52" s="78"/>
      <c r="T52" s="78"/>
    </row>
    <row r="53" spans="1:20" ht="21">
      <c r="A53" s="40"/>
      <c r="B53" s="170" t="s">
        <v>277</v>
      </c>
      <c r="C53" s="133"/>
      <c r="D53" s="149"/>
      <c r="E53" s="25"/>
      <c r="F53" s="470"/>
      <c r="G53" s="470"/>
      <c r="H53" s="470"/>
      <c r="I53" s="470"/>
      <c r="J53" s="470"/>
      <c r="K53" s="470"/>
      <c r="L53" s="471"/>
      <c r="M53" s="179"/>
      <c r="N53" s="78"/>
      <c r="O53" s="78"/>
      <c r="P53" s="78"/>
      <c r="Q53" s="78"/>
      <c r="R53" s="78"/>
      <c r="S53" s="78"/>
      <c r="T53" s="78"/>
    </row>
    <row r="54" spans="1:20" ht="21">
      <c r="A54" s="40"/>
      <c r="B54" s="171" t="s">
        <v>278</v>
      </c>
      <c r="C54" s="133"/>
      <c r="D54" s="151"/>
      <c r="E54" s="25"/>
      <c r="F54" s="470"/>
      <c r="G54" s="470"/>
      <c r="H54" s="470"/>
      <c r="I54" s="470"/>
      <c r="J54" s="470"/>
      <c r="K54" s="470"/>
      <c r="L54" s="471"/>
      <c r="M54" s="179"/>
    </row>
    <row r="55" spans="1:20" ht="21" customHeight="1">
      <c r="A55" s="40"/>
      <c r="B55" s="169" t="s">
        <v>279</v>
      </c>
      <c r="C55" s="133"/>
      <c r="D55" s="149"/>
      <c r="E55" s="25"/>
      <c r="F55" s="466" t="s">
        <v>294</v>
      </c>
      <c r="G55" s="466"/>
      <c r="H55" s="466"/>
      <c r="I55" s="466"/>
      <c r="J55" s="466"/>
      <c r="K55" s="466"/>
      <c r="L55" s="467"/>
      <c r="M55" s="179"/>
    </row>
    <row r="56" spans="1:20" ht="21">
      <c r="A56" s="40"/>
      <c r="B56" s="171" t="s">
        <v>280</v>
      </c>
      <c r="C56" s="133"/>
      <c r="D56" s="151"/>
      <c r="E56" s="25"/>
      <c r="F56" s="466"/>
      <c r="G56" s="466"/>
      <c r="H56" s="466"/>
      <c r="I56" s="466"/>
      <c r="J56" s="466"/>
      <c r="K56" s="466"/>
      <c r="L56" s="467"/>
      <c r="M56" s="179"/>
    </row>
    <row r="57" spans="1:20" ht="21">
      <c r="A57" s="40"/>
      <c r="B57" s="169" t="s">
        <v>281</v>
      </c>
      <c r="C57" s="133"/>
      <c r="D57" s="149"/>
      <c r="E57" s="25"/>
      <c r="F57" s="464" t="s">
        <v>224</v>
      </c>
      <c r="G57" s="464"/>
      <c r="H57" s="464"/>
      <c r="I57" s="464"/>
      <c r="J57" s="464"/>
      <c r="K57" s="464"/>
      <c r="L57" s="464"/>
      <c r="M57" s="179"/>
    </row>
    <row r="58" spans="1:20" ht="21">
      <c r="A58" s="40"/>
      <c r="B58" s="171" t="s">
        <v>282</v>
      </c>
      <c r="C58" s="134"/>
      <c r="D58" s="151">
        <f>C58+C59/2</f>
        <v>0</v>
      </c>
      <c r="E58" s="25"/>
      <c r="F58" s="464"/>
      <c r="G58" s="464"/>
      <c r="H58" s="464"/>
      <c r="I58" s="464"/>
      <c r="J58" s="464"/>
      <c r="K58" s="464"/>
      <c r="L58" s="464"/>
      <c r="M58" s="179"/>
    </row>
    <row r="59" spans="1:20" s="78" customFormat="1" ht="21">
      <c r="A59" s="40"/>
      <c r="B59" s="172" t="s">
        <v>284</v>
      </c>
      <c r="C59" s="134"/>
      <c r="D59" s="151"/>
      <c r="E59" s="25"/>
      <c r="F59" s="465" t="s">
        <v>194</v>
      </c>
      <c r="G59" s="465"/>
      <c r="H59" s="465"/>
      <c r="I59" s="465"/>
      <c r="J59" s="465"/>
      <c r="K59" s="465"/>
      <c r="L59" s="465"/>
      <c r="M59" s="179"/>
    </row>
    <row r="60" spans="1:20" ht="21">
      <c r="A60" s="40"/>
      <c r="B60" s="173" t="s">
        <v>283</v>
      </c>
      <c r="C60" s="133"/>
      <c r="D60" s="149"/>
      <c r="E60" s="25"/>
      <c r="F60" s="465"/>
      <c r="G60" s="465"/>
      <c r="H60" s="465"/>
      <c r="I60" s="465"/>
      <c r="J60" s="465"/>
      <c r="K60" s="465"/>
      <c r="L60" s="465"/>
      <c r="M60" s="179"/>
    </row>
    <row r="61" spans="1:20" ht="15.75" customHeight="1" thickBot="1">
      <c r="A61" s="40"/>
      <c r="B61" s="174" t="s">
        <v>145</v>
      </c>
      <c r="C61" s="135">
        <f>form10E!L27</f>
        <v>0</v>
      </c>
      <c r="D61" s="151"/>
      <c r="E61" s="25"/>
      <c r="F61" s="465"/>
      <c r="G61" s="465"/>
      <c r="H61" s="465"/>
      <c r="I61" s="465"/>
      <c r="J61" s="465"/>
      <c r="K61" s="465"/>
      <c r="L61" s="465"/>
      <c r="M61" s="179"/>
    </row>
    <row r="62" spans="1:20" ht="21" thickTop="1">
      <c r="A62" s="40"/>
      <c r="B62" s="137" t="str">
        <f>COMPUTATION!A51</f>
        <v>Income Tax Payable</v>
      </c>
      <c r="C62" s="136">
        <f>COMPUTATION!M51</f>
        <v>10798</v>
      </c>
      <c r="D62" s="138"/>
      <c r="E62" s="25"/>
      <c r="F62" s="465"/>
      <c r="G62" s="465"/>
      <c r="H62" s="465"/>
      <c r="I62" s="465"/>
      <c r="J62" s="465"/>
      <c r="K62" s="465"/>
      <c r="L62" s="465"/>
      <c r="M62" s="179"/>
    </row>
    <row r="63" spans="1:20" ht="20.25">
      <c r="A63" s="40"/>
      <c r="B63" s="139" t="str">
        <f>"Total Rebate of (US 80C, 80CCC,80CCD(1)) =  "&amp;COMPUTATION!L26</f>
        <v>Total Rebate of (US 80C, 80CCC,80CCD(1)) =  84314</v>
      </c>
      <c r="C63" s="460" t="str">
        <f>"Investable Amount = "&amp;(150000-COMPUTATION!M26)</f>
        <v>Investable Amount = 65686</v>
      </c>
      <c r="D63" s="461"/>
      <c r="E63" s="25"/>
      <c r="F63" s="465"/>
      <c r="G63" s="465"/>
      <c r="H63" s="465"/>
      <c r="I63" s="465"/>
      <c r="J63" s="465"/>
      <c r="K63" s="465"/>
      <c r="L63" s="465"/>
      <c r="M63" s="179"/>
    </row>
    <row r="64" spans="1:20" ht="45.75" customHeight="1">
      <c r="A64" s="40"/>
      <c r="B64" s="456" t="s">
        <v>319</v>
      </c>
      <c r="C64" s="457"/>
      <c r="D64" s="457"/>
      <c r="E64" s="25"/>
      <c r="F64" s="465"/>
      <c r="G64" s="465"/>
      <c r="H64" s="465"/>
      <c r="I64" s="465"/>
      <c r="J64" s="465"/>
      <c r="K64" s="465"/>
      <c r="L64" s="465"/>
      <c r="M64" s="179"/>
    </row>
    <row r="65" spans="1:13" ht="12" customHeight="1">
      <c r="A65" s="40"/>
      <c r="B65" s="40"/>
      <c r="C65" s="99"/>
      <c r="D65" s="53"/>
      <c r="E65" s="25"/>
      <c r="M65" s="179"/>
    </row>
    <row r="66" spans="1:13" ht="23.25" customHeight="1">
      <c r="A66" s="40"/>
      <c r="B66" s="77" t="s">
        <v>210</v>
      </c>
      <c r="C66" s="80" t="s">
        <v>209</v>
      </c>
      <c r="D66" s="77"/>
      <c r="E66" s="25"/>
      <c r="F66" s="78"/>
      <c r="G66" s="78"/>
      <c r="H66" s="78"/>
      <c r="I66" s="78"/>
      <c r="J66" s="78"/>
      <c r="M66" s="179"/>
    </row>
    <row r="67" spans="1:13">
      <c r="A67" s="40"/>
      <c r="B67" s="180"/>
      <c r="C67" s="181"/>
      <c r="D67" s="182"/>
      <c r="E67" s="25"/>
      <c r="F67" s="183"/>
      <c r="G67" s="183"/>
      <c r="H67" s="183"/>
      <c r="I67" s="183"/>
      <c r="J67" s="183"/>
      <c r="K67" s="183"/>
      <c r="L67" s="183"/>
      <c r="M67" s="179"/>
    </row>
    <row r="68" spans="1:13" hidden="1"/>
    <row r="69" spans="1:13" hidden="1"/>
    <row r="70" spans="1:13" hidden="1"/>
    <row r="71" spans="1:13" hidden="1"/>
    <row r="72" spans="1:13" hidden="1"/>
    <row r="73" spans="1:13" hidden="1"/>
    <row r="74" spans="1:13" hidden="1"/>
    <row r="75" spans="1:13" hidden="1"/>
    <row r="76" spans="1:13" hidden="1"/>
    <row r="77" spans="1:13" hidden="1"/>
    <row r="78" spans="1:13" hidden="1"/>
    <row r="79" spans="1:13" hidden="1"/>
    <row r="80" spans="1:13"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row r="125"/>
    <row r="126"/>
    <row r="127"/>
    <row r="128"/>
    <row r="129"/>
    <row r="130"/>
    <row r="131"/>
    <row r="132"/>
    <row r="133"/>
    <row r="134"/>
    <row r="135"/>
    <row r="136"/>
    <row r="137"/>
    <row r="138"/>
    <row r="139"/>
  </sheetData>
  <sheetProtection password="CDA3" sheet="1" objects="1" scenarios="1"/>
  <protectedRanges>
    <protectedRange sqref="F3:H4 I4:L4" name="Range12_1"/>
    <protectedRange sqref="J9:L9 J16:L17 J19:L21" name="Range1_2_1"/>
    <protectedRange sqref="F5:H5" name="Range12_1_1"/>
  </protectedRanges>
  <mergeCells count="51">
    <mergeCell ref="B64:D64"/>
    <mergeCell ref="B33:C33"/>
    <mergeCell ref="C63:D63"/>
    <mergeCell ref="F38:L41"/>
    <mergeCell ref="F57:L58"/>
    <mergeCell ref="F59:L64"/>
    <mergeCell ref="F55:L56"/>
    <mergeCell ref="F45:L46"/>
    <mergeCell ref="F47:L54"/>
    <mergeCell ref="D12:D13"/>
    <mergeCell ref="B25:C25"/>
    <mergeCell ref="D14:D17"/>
    <mergeCell ref="F10:I10"/>
    <mergeCell ref="F12:I12"/>
    <mergeCell ref="F13:I13"/>
    <mergeCell ref="F14:I14"/>
    <mergeCell ref="F18:L20"/>
    <mergeCell ref="B3:D3"/>
    <mergeCell ref="B6:D6"/>
    <mergeCell ref="J5:K5"/>
    <mergeCell ref="C5:D5"/>
    <mergeCell ref="K6:L6"/>
    <mergeCell ref="B2:D2"/>
    <mergeCell ref="B4:D4"/>
    <mergeCell ref="F22:L25"/>
    <mergeCell ref="C11:D11"/>
    <mergeCell ref="F8:L8"/>
    <mergeCell ref="F11:I11"/>
    <mergeCell ref="B7:D7"/>
    <mergeCell ref="F7:L7"/>
    <mergeCell ref="F9:I9"/>
    <mergeCell ref="J9:L9"/>
    <mergeCell ref="J10:L10"/>
    <mergeCell ref="J11:L11"/>
    <mergeCell ref="F17:I17"/>
    <mergeCell ref="F3:H3"/>
    <mergeCell ref="F2:H2"/>
    <mergeCell ref="F5:I5"/>
    <mergeCell ref="I2:J2"/>
    <mergeCell ref="F27:L29"/>
    <mergeCell ref="F31:L32"/>
    <mergeCell ref="F34:L36"/>
    <mergeCell ref="J12:L12"/>
    <mergeCell ref="J13:L13"/>
    <mergeCell ref="J14:L14"/>
    <mergeCell ref="F21:I21"/>
    <mergeCell ref="J21:L21"/>
    <mergeCell ref="J17:L17"/>
    <mergeCell ref="F15:I15"/>
    <mergeCell ref="F16:I16"/>
    <mergeCell ref="I3:L3"/>
  </mergeCells>
  <dataValidations xWindow="616" yWindow="335" count="29">
    <dataValidation operator="equal" allowBlank="1" showInputMessage="1" showErrorMessage="1" sqref="J17 J21:L21"/>
    <dataValidation type="custom" operator="equal" allowBlank="1" showInputMessage="1" showErrorMessage="1" errorTitle="This is not fare" error="Write without any space in total 10 charectors._x000a_V. Ranwa" promptTitle="Vijay" prompt="Permanent Account Number provided by Incom Tax Deptt." sqref="J16">
      <formula1>(LEN(J16)=10)*(MIN(CODE(MID(UPPER(J16),ROW(INDIRECT("1:5")),1)))&gt;64)*(MIN(CODE(MID(UPPER(J16),ROW(INDIRECT("1:5")),1)))&lt;91)*ISNUMBER(--MID(J16,6,4))*((CODE(RIGHT(UPPER(J16),1))&gt;64)*(CODE(RIGHT(UPPER(J16),1))&lt;91))</formula1>
    </dataValidation>
    <dataValidation type="custom" allowBlank="1" showInputMessage="1" showErrorMessage="1" sqref="C61">
      <formula1>VALUE(C61)&gt;0</formula1>
    </dataValidation>
    <dataValidation type="whole" operator="lessThanOrEqual" allowBlank="1" showInputMessage="1" showErrorMessage="1" promptTitle="Vijay" prompt="Deduction for person disabled._x000a_Max. 75000/ for General disability_x000a_Max. 125000/ for 80% or more disability." sqref="C60">
      <formula1>125000</formula1>
    </dataValidation>
    <dataValidation type="custom" allowBlank="1" showInputMessage="1" showErrorMessage="1" promptTitle="Vijay" prompt="No deduction under this section is allowable in case of amount of donation if exceeds Rs 10000/- unless the amount is paid by any mode other than cash." sqref="C58:C59">
      <formula1>VALUE(C58)&gt;0</formula1>
    </dataValidation>
    <dataValidation allowBlank="1" showInputMessage="1" showErrorMessage="1" promptTitle="Vijay" prompt="Repayment of Interest on loan for Higher Education_x000a_from a university of self &amp; dependents  is completely tax exempt" sqref="C57"/>
    <dataValidation type="whole" operator="lessThanOrEqual" allowBlank="1" showInputMessage="1" showErrorMessage="1" promptTitle="Vijay" prompt="can be claimed up to Rs 40,000/- per year. If the person being treated is a senior citizen (Age 60-80Yrs), the exemption can go up to Rs.60,000/-" sqref="C56">
      <formula1>80000</formula1>
    </dataValidation>
    <dataValidation type="whole" operator="lessThanOrEqual" allowBlank="1" showInputMessage="1" showErrorMessage="1" promptTitle="Vijay" prompt="Deduction in respect of medical treatment of handicapped dependents is limited to 75,000/- per year if the disability is less than 80% and Rs1,25,000/- per year if the disability is more than 80%" sqref="C55">
      <formula1>125000</formula1>
    </dataValidation>
    <dataValidation type="whole" operator="lessThanOrEqual" allowBlank="1" showInputMessage="1" showErrorMessage="1" promptTitle="Vijay" prompt="Premium is exempt up to INR.55,000/ per year (Rs.25,000/- for self,spouse and children ) (Rs.25,000/- or Rs.30,000/- for Parents) If Parents are Senior Citizen (above 60 years of age), Exempted premium up to Rs 30,000/  Otherwise upto INR.25,000/-.    " sqref="C54">
      <formula1>60000</formula1>
    </dataValidation>
    <dataValidation type="whole" operator="lessThanOrEqual" allowBlank="1" showInputMessage="1" showErrorMessage="1" promptTitle="VP RANWA" prompt="If you don't get HRA from  your employer, deduction for House rent paid." sqref="C52">
      <formula1>24000</formula1>
    </dataValidation>
    <dataValidation allowBlank="1" showInputMessage="1" showErrorMessage="1" promptTitle="VP RANWA" prompt="Annuity plan of LIC or Pension plan." sqref="C46"/>
    <dataValidation type="whole" operator="lessThanOrEqual" allowBlank="1" showInputMessage="1" showErrorMessage="1" sqref="C45">
      <formula1>150000</formula1>
    </dataValidation>
    <dataValidation type="whole" operator="lessThanOrEqual" allowBlank="1" showInputMessage="1" showErrorMessage="1" sqref="C44 C51">
      <formula1>50000</formula1>
    </dataValidation>
    <dataValidation operator="lessThanOrEqual" allowBlank="1" showInputMessage="1" showErrorMessage="1" sqref="C16"/>
    <dataValidation type="whole" operator="lessThanOrEqual" allowBlank="1" showInputMessage="1" showErrorMessage="1" promptTitle="VP Ranwa" prompt="Loan taken during FY 2013-2014 (01/04/2013 to 31/03/2014) only eligible for addtional deduction of Rs.1 lakh" sqref="C36">
      <formula1>100000</formula1>
    </dataValidation>
    <dataValidation type="whole" operator="lessThanOrEqual" allowBlank="1" showInputMessage="1" showErrorMessage="1" promptTitle="VP Ranwa" prompt="HOME LOAN INTEREST MEXIMUM LIMIT- _x000a_RS. 200000/" sqref="C35">
      <formula1>200000</formula1>
    </dataValidation>
    <dataValidation allowBlank="1" showInputMessage="1" showErrorMessage="1" promptTitle="Vijay" sqref="C18"/>
    <dataValidation type="whole" allowBlank="1" showInputMessage="1" showErrorMessage="1" errorTitle="Vijay - Not Allow" error="Please Right Si Premium enter_x000a_between 900-3000" sqref="C17">
      <formula1>500</formula1>
      <formula2>3000</formula2>
    </dataValidation>
    <dataValidation type="whole" operator="lessThanOrEqual" allowBlank="1" showInputMessage="1" showErrorMessage="1" sqref="C22:C23">
      <formula1>5000</formula1>
    </dataValidation>
    <dataValidation type="list" allowBlank="1" showErrorMessage="1" prompt="_x000a_" sqref="C13">
      <formula1>"Jaipur,Jodhpur,Ajmer,Bikaner,Kota"</formula1>
    </dataValidation>
    <dataValidation type="list" allowBlank="1" showErrorMessage="1" prompt="_x000a_" sqref="C12">
      <formula1>"Metro,Non-Metro,Non-Eligible"</formula1>
    </dataValidation>
    <dataValidation operator="lessThanOrEqual" allowBlank="1" showInputMessage="1" showErrorMessage="1" errorTitle="Sorry...!!! Not Allow" error="HRA Rebate Permissible up to Actual HRA Recieved" promptTitle="VP RANWA" prompt="Enter House  Monthly Actual Rent Paid for HRA Exemption." sqref="C20"/>
    <dataValidation operator="lessThanOrEqual" allowBlank="1" showInputMessage="1" showErrorMessage="1" errorTitle="Sorry...!!! Not Allow" error="HRA Rebate Permissible up to Actual HRA Recieved" sqref="C21 D18:D23"/>
    <dataValidation type="custom" allowBlank="1" showInputMessage="1" showErrorMessage="1" errorTitle="Vijay" error="Enter  without any space 10 Digits Valid PAN _x000a_First five Alphabets (Four Alphabets=P) then 4 Digits and last Alpabets _x000a_( Exatly 10 Characters)" promptTitle="Vijay" prompt="Enter  without any space 10 Digits Valid PAN _x000a_First five Alphabets (Four Alphabets=P) then 4 Digits and last Alpabets _x000a_( Exatly 10 Characters)" sqref="C10">
      <formula1>(LEN(C10)=10)*ISNUMBER(--MID(C10,6,4))*((CODE(RIGHT(UPPER(C10),1))&gt;64)*(CODE(RIGHT(UPPER(C10),1))&lt;91)) *(UPPER(MID(C10,4,1))="P")*(MIN(CODE(MID(UPPER(C10),ROW(INDIRECT("1:5")),1)))&gt;64)*(MIN(CODE(MID(UPPER(C10),ROW(INDIRECT("1:5")),1)))&lt;91)</formula1>
    </dataValidation>
    <dataValidation type="custom" allowBlank="1" showInputMessage="1" showErrorMessage="1" errorTitle="Vijay" error="Enter only Numerick digit" sqref="J9">
      <formula1>ISNUMBER(J9)</formula1>
    </dataValidation>
    <dataValidation allowBlank="1" showInputMessage="1" showErrorMessage="1" errorTitle="Sorry" error="Don't write_x000a_Please!_x000a_Select from given options only_x000a__x000a_-VD" promptTitle="Select drop down arrow" prompt="How do you want to prepare Form-16_x000a__x000a_-VP Ranwa" sqref="F8"/>
    <dataValidation type="textLength" operator="lessThanOrEqual" allowBlank="1" showInputMessage="1" showErrorMessage="1" errorTitle="Attention Plz." error="Use space_x000a_After first 5 alphabates then 4 numarics with 1 alphabates without space_x000a_-V. Ranwa" promptTitle="TAN No." prompt="of D.D.O." sqref="J13">
      <formula1>12</formula1>
    </dataValidation>
    <dataValidation allowBlank="1" showInputMessage="1" showErrorMessage="1" errorTitle="Vijay" error="Enter  without any space 10 Digits Valid PAN _x000a_First five Alphabets (Four Alphabets=P) then 4 Digits and last Alpabets _x000a_( Exatly 10 Characters)" promptTitle="Vijay" prompt="Write Your School Name" sqref="C11:D11"/>
    <dataValidation type="list" allowBlank="1" showInputMessage="1" showErrorMessage="1" promptTitle="Vijay" sqref="C19">
      <formula1>"0,1,2,3,4,5,6,7,8,9,10,11,12"</formula1>
    </dataValidation>
  </dataValidations>
  <hyperlinks>
    <hyperlink ref="C66" location="'G.A. 55'!A1" display="GO To G.A. 55"/>
    <hyperlink ref="I3" r:id="rId1"/>
  </hyperlinks>
  <printOptions horizontalCentered="1"/>
  <pageMargins left="0.31496062992126" right="0.31496062992126" top="0.74803149606299202" bottom="0.74803149606299202" header="0" footer="0"/>
  <pageSetup paperSize="9"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W32"/>
  <sheetViews>
    <sheetView workbookViewId="0">
      <selection activeCell="D21" sqref="D21"/>
    </sheetView>
  </sheetViews>
  <sheetFormatPr defaultColWidth="9.140625" defaultRowHeight="15"/>
  <cols>
    <col min="1" max="1" width="4" style="2" customWidth="1"/>
    <col min="2" max="2" width="8.140625" style="2" customWidth="1"/>
    <col min="3" max="4" width="7.5703125" style="2" customWidth="1"/>
    <col min="5" max="5" width="6.5703125" style="2" customWidth="1"/>
    <col min="6" max="6" width="5.28515625" style="2" customWidth="1"/>
    <col min="7" max="7" width="5.42578125" style="2" customWidth="1"/>
    <col min="8" max="8" width="7.140625" style="2" customWidth="1"/>
    <col min="9" max="9" width="6.85546875" style="2" customWidth="1"/>
    <col min="10" max="10" width="7" style="2" customWidth="1"/>
    <col min="11" max="11" width="5.85546875" style="2" customWidth="1"/>
    <col min="12" max="12" width="5.140625" style="2" customWidth="1"/>
    <col min="13" max="13" width="6.140625" style="2" customWidth="1"/>
    <col min="14" max="14" width="5.7109375" style="2" customWidth="1"/>
    <col min="15" max="15" width="5" style="2" customWidth="1"/>
    <col min="16" max="16" width="5.7109375" style="2" customWidth="1"/>
    <col min="17" max="17" width="6.28515625" style="2" customWidth="1"/>
    <col min="18" max="18" width="6.7109375" style="2" customWidth="1"/>
    <col min="19" max="19" width="9.140625" style="2" customWidth="1"/>
    <col min="20" max="20" width="9.85546875" style="2" customWidth="1"/>
    <col min="21" max="21" width="11.85546875" style="2" customWidth="1"/>
    <col min="22" max="16384" width="9.140625" style="2"/>
  </cols>
  <sheetData>
    <row r="1" spans="1:23" ht="28.5" customHeight="1">
      <c r="A1" s="472" t="str">
        <f>" Office of the  "&amp;Home!C11</f>
        <v xml:space="preserve"> Office of the  HEADMASTER, GOVT SECONDARY SCHOOL DHANERU (BIKANER)</v>
      </c>
      <c r="B1" s="473"/>
      <c r="C1" s="473"/>
      <c r="D1" s="473"/>
      <c r="E1" s="473"/>
      <c r="F1" s="473"/>
      <c r="G1" s="473"/>
      <c r="H1" s="473"/>
      <c r="I1" s="473"/>
      <c r="J1" s="473"/>
      <c r="K1" s="473"/>
      <c r="L1" s="473"/>
      <c r="M1" s="473"/>
      <c r="N1" s="473"/>
      <c r="O1" s="473"/>
      <c r="P1" s="473"/>
      <c r="Q1" s="473"/>
      <c r="R1" s="473"/>
      <c r="S1" s="473"/>
      <c r="T1" s="473"/>
      <c r="U1" s="473"/>
    </row>
    <row r="2" spans="1:23" ht="15" customHeight="1">
      <c r="A2" s="494" t="s">
        <v>469</v>
      </c>
      <c r="B2" s="495"/>
      <c r="C2" s="495"/>
      <c r="D2" s="495"/>
      <c r="E2" s="495"/>
      <c r="F2" s="495"/>
      <c r="G2" s="495"/>
      <c r="H2" s="495"/>
      <c r="I2" s="495"/>
      <c r="J2" s="495"/>
      <c r="K2" s="495"/>
      <c r="L2" s="495"/>
      <c r="M2" s="495"/>
      <c r="N2" s="495"/>
      <c r="O2" s="495"/>
      <c r="P2" s="495"/>
      <c r="Q2" s="495"/>
      <c r="R2" s="495"/>
      <c r="S2" s="495"/>
      <c r="T2" s="495"/>
      <c r="U2" s="496"/>
      <c r="V2" s="1"/>
      <c r="W2" s="1"/>
    </row>
    <row r="3" spans="1:23" ht="13.5" customHeight="1">
      <c r="A3" s="497"/>
      <c r="B3" s="498"/>
      <c r="C3" s="498"/>
      <c r="D3" s="498"/>
      <c r="E3" s="498"/>
      <c r="F3" s="498"/>
      <c r="G3" s="498"/>
      <c r="H3" s="498"/>
      <c r="I3" s="498"/>
      <c r="J3" s="498"/>
      <c r="K3" s="498"/>
      <c r="L3" s="498"/>
      <c r="M3" s="498"/>
      <c r="N3" s="498"/>
      <c r="O3" s="498"/>
      <c r="P3" s="498"/>
      <c r="Q3" s="498"/>
      <c r="R3" s="498"/>
      <c r="S3" s="498"/>
      <c r="T3" s="498"/>
      <c r="U3" s="499"/>
    </row>
    <row r="4" spans="1:23" ht="21" customHeight="1">
      <c r="A4" s="489" t="s">
        <v>129</v>
      </c>
      <c r="B4" s="489"/>
      <c r="C4" s="489"/>
      <c r="D4" s="502" t="str">
        <f>UPPER(Home!C8)</f>
        <v>VIJAY RANWA</v>
      </c>
      <c r="E4" s="502"/>
      <c r="F4" s="502"/>
      <c r="G4" s="502"/>
      <c r="H4" s="502"/>
      <c r="I4" s="506" t="s">
        <v>87</v>
      </c>
      <c r="J4" s="507"/>
      <c r="K4" s="508"/>
      <c r="L4" s="503" t="str">
        <f>UPPER(Home!C9)</f>
        <v xml:space="preserve"> TEACHER</v>
      </c>
      <c r="M4" s="503"/>
      <c r="N4" s="503"/>
      <c r="O4" s="504"/>
      <c r="P4" s="505"/>
      <c r="Q4" s="489" t="s">
        <v>212</v>
      </c>
      <c r="R4" s="489"/>
      <c r="S4" s="489"/>
      <c r="T4" s="500" t="str">
        <f>UPPER(Home!C10)</f>
        <v>BPGPS1184D</v>
      </c>
      <c r="U4" s="501"/>
    </row>
    <row r="5" spans="1:23" ht="13.5" customHeight="1">
      <c r="A5" s="487"/>
      <c r="B5" s="487"/>
      <c r="C5" s="487"/>
      <c r="D5" s="487"/>
      <c r="E5" s="487"/>
      <c r="F5" s="487"/>
      <c r="G5" s="487"/>
      <c r="H5" s="487"/>
      <c r="I5" s="487"/>
      <c r="J5" s="487"/>
      <c r="K5" s="487"/>
      <c r="L5" s="487"/>
      <c r="M5" s="487"/>
      <c r="N5" s="487"/>
      <c r="O5" s="488"/>
      <c r="P5" s="487"/>
      <c r="Q5" s="487"/>
      <c r="R5" s="487"/>
      <c r="S5" s="487"/>
      <c r="T5" s="487"/>
      <c r="U5" s="487"/>
    </row>
    <row r="6" spans="1:23" ht="22.5" customHeight="1">
      <c r="A6" s="490" t="s">
        <v>290</v>
      </c>
      <c r="B6" s="491" t="s">
        <v>0</v>
      </c>
      <c r="C6" s="475" t="s">
        <v>25</v>
      </c>
      <c r="D6" s="476"/>
      <c r="E6" s="476"/>
      <c r="F6" s="476"/>
      <c r="G6" s="476"/>
      <c r="H6" s="481" t="s">
        <v>27</v>
      </c>
      <c r="I6" s="475" t="s">
        <v>289</v>
      </c>
      <c r="J6" s="476"/>
      <c r="K6" s="476"/>
      <c r="L6" s="476"/>
      <c r="M6" s="476"/>
      <c r="N6" s="476"/>
      <c r="O6" s="477"/>
      <c r="P6" s="476"/>
      <c r="Q6" s="476"/>
      <c r="R6" s="476"/>
      <c r="S6" s="478"/>
      <c r="T6" s="481" t="s">
        <v>293</v>
      </c>
      <c r="U6" s="492" t="s">
        <v>320</v>
      </c>
    </row>
    <row r="7" spans="1:23" ht="32.25" customHeight="1">
      <c r="A7" s="490"/>
      <c r="B7" s="491"/>
      <c r="C7" s="3" t="s">
        <v>291</v>
      </c>
      <c r="D7" s="4" t="s">
        <v>1</v>
      </c>
      <c r="E7" s="3" t="s">
        <v>2</v>
      </c>
      <c r="F7" s="5" t="s">
        <v>3</v>
      </c>
      <c r="G7" s="229" t="s">
        <v>141</v>
      </c>
      <c r="H7" s="482"/>
      <c r="I7" s="5" t="s">
        <v>332</v>
      </c>
      <c r="J7" s="6" t="s">
        <v>16</v>
      </c>
      <c r="K7" s="6" t="s">
        <v>333</v>
      </c>
      <c r="L7" s="6" t="str">
        <f>IF(J8&gt;0, "RPMF", "")</f>
        <v>RPMF</v>
      </c>
      <c r="M7" s="7" t="s">
        <v>5</v>
      </c>
      <c r="N7" s="8" t="s">
        <v>292</v>
      </c>
      <c r="O7" s="247" t="s">
        <v>459</v>
      </c>
      <c r="P7" s="7" t="s">
        <v>6</v>
      </c>
      <c r="Q7" s="15" t="s">
        <v>144</v>
      </c>
      <c r="R7" s="10" t="s">
        <v>7</v>
      </c>
      <c r="S7" s="9" t="s">
        <v>8</v>
      </c>
      <c r="T7" s="482"/>
      <c r="U7" s="493"/>
      <c r="W7" s="287"/>
    </row>
    <row r="8" spans="1:23">
      <c r="A8" s="258">
        <v>1</v>
      </c>
      <c r="B8" s="28">
        <v>42795</v>
      </c>
      <c r="C8" s="36">
        <f>Home!C14</f>
        <v>17900</v>
      </c>
      <c r="D8" s="27">
        <f>ROUND(C8*132%, 0)</f>
        <v>23628</v>
      </c>
      <c r="E8" s="27">
        <f>IF(Home!C$12="metro",C8*20%,IF(Home!C$12="Non-Metro",C8*10%, ""))</f>
        <v>1790</v>
      </c>
      <c r="F8" s="27" t="str">
        <f>IF(Home!$C$12="metro",IF(Home!$C$13="Jaipur",IF(C8&lt;=7000,190,IF(C8&lt;=9000,300,480)),IF(C8&lt;=7000,70,IF(C8&lt;=9000,130,240))),"")</f>
        <v/>
      </c>
      <c r="G8" s="33"/>
      <c r="H8" s="36">
        <f>SUM(C8:G8)</f>
        <v>43318</v>
      </c>
      <c r="I8" s="27">
        <f>IF(Home!$C$16&lt;=0,ROUND((C8+D8)*10%,0),"")</f>
        <v>4153</v>
      </c>
      <c r="J8" s="27" t="str">
        <f>IF(Home!C16&gt;0, Home!C16, "")</f>
        <v/>
      </c>
      <c r="K8" s="84"/>
      <c r="L8" s="238" t="str">
        <f>IF(Home!C$16&gt;0, IF(C8&lt;=7000,199,IF(C8&lt;=13000,331,IF(C8&lt;=21000,496,660))), "")</f>
        <v/>
      </c>
      <c r="M8" s="36">
        <f>Home!C17</f>
        <v>2650</v>
      </c>
      <c r="N8" s="84"/>
      <c r="O8" s="238" t="str">
        <f>IF(E8="",IF(C8&lt;13000,ROUND(C8*0.75%,0),IF(C8&lt;19000,ROUND(C8*1.5%,0),ROUND(C8*2%,0))),"")</f>
        <v/>
      </c>
      <c r="P8" s="39">
        <f>Home!C37</f>
        <v>0</v>
      </c>
      <c r="Q8" s="27"/>
      <c r="R8" s="36">
        <f>Home!C18</f>
        <v>0</v>
      </c>
      <c r="S8" s="37">
        <f>SUM(I8:R8)</f>
        <v>6803</v>
      </c>
      <c r="T8" s="37">
        <f t="shared" ref="T8:T25" si="0">H8-S8</f>
        <v>36515</v>
      </c>
      <c r="U8" s="213"/>
    </row>
    <row r="9" spans="1:23">
      <c r="A9" s="258">
        <v>2</v>
      </c>
      <c r="B9" s="28">
        <v>42826</v>
      </c>
      <c r="C9" s="32">
        <f>C8</f>
        <v>17900</v>
      </c>
      <c r="D9" s="27">
        <f>ROUND(C9*136%, 0)</f>
        <v>24344</v>
      </c>
      <c r="E9" s="32">
        <f>IF(Home!C$12="metro",C9*20%,IF(Home!C$12="Non-Metro",C9*10%, ""))</f>
        <v>1790</v>
      </c>
      <c r="F9" s="32" t="str">
        <f>IF(Home!$C$12="metro",IF(Home!$C$13="Jaipur",IF(C9&lt;=7000,190,IF(C9&lt;=9000,300,480)),IF(C9&lt;=7000,70,IF(C9&lt;=9000,130,240))),"")</f>
        <v/>
      </c>
      <c r="G9" s="33"/>
      <c r="H9" s="36">
        <f>SUM(C9:G9)</f>
        <v>44034</v>
      </c>
      <c r="I9" s="27">
        <f>IF(Home!$C$16&lt;=0,ROUND((C9+D9)*10%,0),"")</f>
        <v>4224</v>
      </c>
      <c r="J9" s="32" t="str">
        <f>J8</f>
        <v/>
      </c>
      <c r="K9" s="84" t="str">
        <f>IF(K8&gt;0,K8,"")</f>
        <v/>
      </c>
      <c r="L9" s="238" t="str">
        <f>IF(Home!C$16&gt;0, IF(C9&lt;=7000,199,IF(C9&lt;=13000,331,IF(C9&lt;=21000,496,660))), "")</f>
        <v/>
      </c>
      <c r="M9" s="32">
        <f>M8</f>
        <v>2650</v>
      </c>
      <c r="N9" s="84" t="str">
        <f>IF(N8&gt;0,N8,"")</f>
        <v/>
      </c>
      <c r="O9" s="238" t="str">
        <f>IF(E9="",IF(C9&lt;13000,ROUND(C9*0.75%,0),IF(C9&lt;19000,ROUND(C9*1.5%,0),ROUND(C9*2%,0))),"")</f>
        <v/>
      </c>
      <c r="P9" s="32" t="str">
        <f>IF(P8&gt;0,P8,"")</f>
        <v/>
      </c>
      <c r="Q9" s="33">
        <v>253</v>
      </c>
      <c r="R9" s="250">
        <f>R8</f>
        <v>0</v>
      </c>
      <c r="S9" s="37">
        <f t="shared" ref="S9:S25" si="1">SUM(I9:R9)</f>
        <v>7127</v>
      </c>
      <c r="T9" s="37">
        <f t="shared" si="0"/>
        <v>36907</v>
      </c>
      <c r="U9" s="213"/>
    </row>
    <row r="10" spans="1:23">
      <c r="A10" s="258">
        <v>3</v>
      </c>
      <c r="B10" s="28">
        <v>42856</v>
      </c>
      <c r="C10" s="32">
        <f>C9</f>
        <v>17900</v>
      </c>
      <c r="D10" s="27">
        <f t="shared" ref="D10:D14" si="2">ROUND(C10*136%, 0)</f>
        <v>24344</v>
      </c>
      <c r="E10" s="32">
        <f>IF(Home!C$12="metro",C10*20%,IF(Home!C$12="Non-Metro",C10*10%, ""))</f>
        <v>1790</v>
      </c>
      <c r="F10" s="32" t="str">
        <f>IF(Home!$C$12="metro",IF(Home!$C$13="Jaipur",IF(C10&lt;=7000,190,IF(C10&lt;=9000,300,480)),IF(C10&lt;=7000,70,IF(C10&lt;=9000,130,240))),"")</f>
        <v/>
      </c>
      <c r="G10" s="33"/>
      <c r="H10" s="36">
        <f t="shared" ref="H10:H25" si="3">SUM(C10:G10)</f>
        <v>44034</v>
      </c>
      <c r="I10" s="27">
        <f>IF(Home!$C$16&lt;=0,ROUND((C10+D10)*10%,0),"")</f>
        <v>4224</v>
      </c>
      <c r="J10" s="32" t="str">
        <f t="shared" ref="J10:J19" si="4">J9</f>
        <v/>
      </c>
      <c r="K10" s="84" t="str">
        <f t="shared" ref="K10:K19" si="5">K9</f>
        <v/>
      </c>
      <c r="L10" s="238" t="str">
        <f>IF(Home!C$16&gt;0, IF(C10&lt;=7000,205,IF(C10&lt;=13000,341,IF(C10&lt;=21000,511,680))), "")</f>
        <v/>
      </c>
      <c r="M10" s="32">
        <f t="shared" ref="M10:M19" si="6">M9</f>
        <v>2650</v>
      </c>
      <c r="N10" s="84" t="str">
        <f t="shared" ref="N10:N19" si="7">IF(N9&gt;0,N9,"")</f>
        <v/>
      </c>
      <c r="O10" s="238" t="str">
        <f>IF(E10="",IF(C10&lt;13000,ROUND(C10*0.75%,0),IF(C10&lt;19000,ROUND(C10*1.5%,0),ROUND(C10*2%,0))),"")</f>
        <v/>
      </c>
      <c r="P10" s="32" t="str">
        <f t="shared" ref="P10:P19" si="8">P9</f>
        <v/>
      </c>
      <c r="Q10" s="27"/>
      <c r="R10" s="32">
        <f t="shared" ref="R10:R16" si="9">R9</f>
        <v>0</v>
      </c>
      <c r="S10" s="37">
        <f t="shared" si="1"/>
        <v>6874</v>
      </c>
      <c r="T10" s="37">
        <f t="shared" si="0"/>
        <v>37160</v>
      </c>
      <c r="U10" s="213"/>
    </row>
    <row r="11" spans="1:23">
      <c r="A11" s="258">
        <v>4</v>
      </c>
      <c r="B11" s="28">
        <v>42887</v>
      </c>
      <c r="C11" s="32">
        <f>C10</f>
        <v>17900</v>
      </c>
      <c r="D11" s="27">
        <f t="shared" si="2"/>
        <v>24344</v>
      </c>
      <c r="E11" s="32">
        <f>IF(Home!C$12="metro",C11*20%,IF(Home!C$12="Non-Metro",C11*10%, ""))</f>
        <v>1790</v>
      </c>
      <c r="F11" s="32" t="str">
        <f>IF(Home!$C$12="metro",IF(Home!$C$13="Jaipur",IF(C11&lt;=7000,190,IF(C11&lt;=9000,300,480)),IF(C11&lt;=7000,70,IF(C11&lt;=9000,130,240))),"")</f>
        <v/>
      </c>
      <c r="G11" s="33"/>
      <c r="H11" s="36">
        <f t="shared" si="3"/>
        <v>44034</v>
      </c>
      <c r="I11" s="27">
        <f>IF(Home!$C$16&lt;=0,ROUND((C11+D11)*10%,0),"")</f>
        <v>4224</v>
      </c>
      <c r="J11" s="32" t="str">
        <f t="shared" si="4"/>
        <v/>
      </c>
      <c r="K11" s="84" t="str">
        <f t="shared" si="5"/>
        <v/>
      </c>
      <c r="L11" s="238" t="str">
        <f>IF(Home!C$16&gt;0, IF(C11&lt;=7000,205,IF(C11&lt;=13000,341,IF(C11&lt;=21000,511,680))), "")</f>
        <v/>
      </c>
      <c r="M11" s="32">
        <f t="shared" si="6"/>
        <v>2650</v>
      </c>
      <c r="N11" s="84" t="str">
        <f t="shared" si="7"/>
        <v/>
      </c>
      <c r="O11" s="238" t="str">
        <f>IF(E11="",IF(C11&lt;13000,ROUND(C11*0.75%,0),IF(C11&lt;19000,ROUND(C11*1.5%,0),ROUND(C11*2%,0))),"")</f>
        <v/>
      </c>
      <c r="P11" s="32" t="str">
        <f t="shared" si="8"/>
        <v/>
      </c>
      <c r="Q11" s="27"/>
      <c r="R11" s="32">
        <f t="shared" si="9"/>
        <v>0</v>
      </c>
      <c r="S11" s="37">
        <f t="shared" si="1"/>
        <v>6874</v>
      </c>
      <c r="T11" s="37">
        <f t="shared" si="0"/>
        <v>37160</v>
      </c>
      <c r="U11" s="213"/>
    </row>
    <row r="12" spans="1:23">
      <c r="A12" s="258">
        <v>5</v>
      </c>
      <c r="B12" s="28">
        <v>42917</v>
      </c>
      <c r="C12" s="249">
        <f>ROUNDUP(ROUND(1.03*C11, 0),-1)</f>
        <v>18440</v>
      </c>
      <c r="D12" s="27">
        <f t="shared" si="2"/>
        <v>25078</v>
      </c>
      <c r="E12" s="32">
        <f>IF(Home!C$12="metro",C12*20%,IF(Home!C$12="Non-Metro",C12*10%, ""))</f>
        <v>1844</v>
      </c>
      <c r="F12" s="32" t="str">
        <f>IF(Home!$C$12="metro",IF(Home!$C$13="Jaipur",IF(C12&lt;=7000,190,IF(C12&lt;=9000,300,480)),IF(C12&lt;=7000,70,IF(C12&lt;=9000,130,240))),"")</f>
        <v/>
      </c>
      <c r="G12" s="33"/>
      <c r="H12" s="36">
        <f t="shared" si="3"/>
        <v>45362</v>
      </c>
      <c r="I12" s="27">
        <f>IF(Home!$C$16&lt;=0,ROUND((C12+D12)*10%,0),"")</f>
        <v>4352</v>
      </c>
      <c r="J12" s="32" t="str">
        <f t="shared" si="4"/>
        <v/>
      </c>
      <c r="K12" s="84" t="str">
        <f t="shared" si="5"/>
        <v/>
      </c>
      <c r="L12" s="238" t="str">
        <f>IF(Home!C$16&gt;0, IF(C12&lt;=7000,205,IF(C12&lt;=13000,341,IF(C12&lt;=21000,511,680))), "")</f>
        <v/>
      </c>
      <c r="M12" s="32">
        <f t="shared" si="6"/>
        <v>2650</v>
      </c>
      <c r="N12" s="84" t="str">
        <f t="shared" si="7"/>
        <v/>
      </c>
      <c r="O12" s="238" t="str">
        <f>IF(E12="",IF(C12&lt;13000,ROUND(C12*0.75%,0),IF(C12&lt;19000,ROUND(C12*1.5%,0),ROUND(C12*2%,0))),"")</f>
        <v/>
      </c>
      <c r="P12" s="32" t="str">
        <f t="shared" si="8"/>
        <v/>
      </c>
      <c r="Q12" s="27"/>
      <c r="R12" s="32">
        <f t="shared" si="9"/>
        <v>0</v>
      </c>
      <c r="S12" s="37">
        <f t="shared" si="1"/>
        <v>7002</v>
      </c>
      <c r="T12" s="37">
        <f t="shared" si="0"/>
        <v>38360</v>
      </c>
      <c r="U12" s="213"/>
    </row>
    <row r="13" spans="1:23">
      <c r="A13" s="258">
        <v>6</v>
      </c>
      <c r="B13" s="28">
        <v>42948</v>
      </c>
      <c r="C13" s="32">
        <f t="shared" ref="C13:C19" si="10">C12</f>
        <v>18440</v>
      </c>
      <c r="D13" s="27">
        <f t="shared" si="2"/>
        <v>25078</v>
      </c>
      <c r="E13" s="32">
        <f>IF(Home!C$12="metro",C13*20%,IF(Home!C$12="Non-Metro",C13*10%, ""))</f>
        <v>1844</v>
      </c>
      <c r="F13" s="32" t="str">
        <f>IF(Home!$C$12="metro",IF(Home!$C$13="Jaipur",IF(C13&lt;=7000,190,IF(C13&lt;=9000,300,480)),IF(C13&lt;=7000,70,IF(C13&lt;=9000,130,240))),"")</f>
        <v/>
      </c>
      <c r="G13" s="33"/>
      <c r="H13" s="36">
        <f t="shared" si="3"/>
        <v>45362</v>
      </c>
      <c r="I13" s="27">
        <f>IF(Home!$C$16&lt;=0,ROUND((C13+D13)*10%,0),"")</f>
        <v>4352</v>
      </c>
      <c r="J13" s="32" t="str">
        <f t="shared" si="4"/>
        <v/>
      </c>
      <c r="K13" s="84" t="str">
        <f t="shared" si="5"/>
        <v/>
      </c>
      <c r="L13" s="238" t="str">
        <f>IF(Home!C$16&gt;0, IF(C13&lt;=7000,205,IF(C13&lt;=13000,341,IF(C13&lt;=21000,511,680))), "")</f>
        <v/>
      </c>
      <c r="M13" s="32">
        <f t="shared" si="6"/>
        <v>2650</v>
      </c>
      <c r="N13" s="84" t="str">
        <f t="shared" si="7"/>
        <v/>
      </c>
      <c r="O13" s="238" t="str">
        <f t="shared" ref="O13:O19" si="11">IF(E13="",IF(C13&lt;13000,ROUND(C13*0.75%,0),IF(C13&lt;19000,ROUND(C13*1.5%,0),ROUND(C13*2%,0))),"")</f>
        <v/>
      </c>
      <c r="P13" s="32" t="str">
        <f t="shared" si="8"/>
        <v/>
      </c>
      <c r="Q13" s="27"/>
      <c r="R13" s="32">
        <f t="shared" si="9"/>
        <v>0</v>
      </c>
      <c r="S13" s="37">
        <f t="shared" si="1"/>
        <v>7002</v>
      </c>
      <c r="T13" s="37">
        <f t="shared" si="0"/>
        <v>38360</v>
      </c>
      <c r="U13" s="213"/>
    </row>
    <row r="14" spans="1:23">
      <c r="A14" s="258">
        <v>7</v>
      </c>
      <c r="B14" s="28">
        <v>42979</v>
      </c>
      <c r="C14" s="32">
        <f t="shared" si="10"/>
        <v>18440</v>
      </c>
      <c r="D14" s="27">
        <f t="shared" si="2"/>
        <v>25078</v>
      </c>
      <c r="E14" s="32">
        <f>IF(Home!C$12="metro",C14*20%,IF(Home!C$12="Non-Metro",C14*10%, ""))</f>
        <v>1844</v>
      </c>
      <c r="F14" s="32" t="str">
        <f>IF(Home!$C$12="metro",IF(Home!$C$13="Jaipur",IF(C14&lt;=7000,190,IF(C14&lt;=9000,300,480)),IF(C14&lt;=7000,70,IF(C14&lt;=9000,130,240))),"")</f>
        <v/>
      </c>
      <c r="G14" s="33"/>
      <c r="H14" s="36">
        <f t="shared" si="3"/>
        <v>45362</v>
      </c>
      <c r="I14" s="27">
        <f>IF(Home!$C$16&lt;=0,ROUND((C14+D14)*10%,0),"")</f>
        <v>4352</v>
      </c>
      <c r="J14" s="32" t="str">
        <f t="shared" si="4"/>
        <v/>
      </c>
      <c r="K14" s="84" t="str">
        <f t="shared" si="5"/>
        <v/>
      </c>
      <c r="L14" s="238" t="str">
        <f>IF(Home!C$16&gt;0, IF(C14&lt;=7000,205,IF(C14&lt;=13000,341,IF(C14&lt;=21000,511,680))), "")</f>
        <v/>
      </c>
      <c r="M14" s="32">
        <f t="shared" si="6"/>
        <v>2650</v>
      </c>
      <c r="N14" s="84" t="str">
        <f>N13</f>
        <v/>
      </c>
      <c r="O14" s="238" t="str">
        <f t="shared" si="11"/>
        <v/>
      </c>
      <c r="P14" s="32" t="str">
        <f t="shared" si="8"/>
        <v/>
      </c>
      <c r="Q14" s="27"/>
      <c r="R14" s="32">
        <f t="shared" si="9"/>
        <v>0</v>
      </c>
      <c r="S14" s="37">
        <f t="shared" si="1"/>
        <v>7002</v>
      </c>
      <c r="T14" s="37">
        <f t="shared" si="0"/>
        <v>38360</v>
      </c>
      <c r="U14" s="213"/>
    </row>
    <row r="15" spans="1:23">
      <c r="A15" s="258">
        <v>8</v>
      </c>
      <c r="B15" s="28">
        <v>43009</v>
      </c>
      <c r="C15" s="32">
        <f t="shared" si="10"/>
        <v>18440</v>
      </c>
      <c r="D15" s="27">
        <f>ROUND(C15*139%, 0)</f>
        <v>25632</v>
      </c>
      <c r="E15" s="32">
        <f>IF(Home!C$12="metro",C15*20%,IF(Home!C$12="Non-Metro",C15*10%, ""))</f>
        <v>1844</v>
      </c>
      <c r="F15" s="32" t="str">
        <f>IF(Home!$C$12="metro",IF(Home!$C$13="Jaipur",IF(C15&lt;=7000,190,IF(C15&lt;=9000,300,480)),IF(C15&lt;=7000,70,IF(C15&lt;=9000,130,240))),"")</f>
        <v/>
      </c>
      <c r="G15" s="33"/>
      <c r="H15" s="36">
        <f t="shared" si="3"/>
        <v>45916</v>
      </c>
      <c r="I15" s="27">
        <f>IF(Home!$C$16&lt;=0,ROUND((C15+D15)*10%,0),"")</f>
        <v>4407</v>
      </c>
      <c r="J15" s="32" t="str">
        <f t="shared" si="4"/>
        <v/>
      </c>
      <c r="K15" s="84" t="str">
        <f t="shared" si="5"/>
        <v/>
      </c>
      <c r="L15" s="238" t="str">
        <f>IF(Home!C$16&gt;0, IF(C15&lt;=7000,205,IF(C15&lt;=13000,341,IF(C15&lt;=21000,511,680))), "")</f>
        <v/>
      </c>
      <c r="M15" s="32">
        <f t="shared" si="6"/>
        <v>2650</v>
      </c>
      <c r="N15" s="84" t="str">
        <f t="shared" si="7"/>
        <v/>
      </c>
      <c r="O15" s="238" t="str">
        <f t="shared" si="11"/>
        <v/>
      </c>
      <c r="P15" s="32" t="str">
        <f t="shared" si="8"/>
        <v/>
      </c>
      <c r="Q15" s="27"/>
      <c r="R15" s="32">
        <f t="shared" si="9"/>
        <v>0</v>
      </c>
      <c r="S15" s="37">
        <f t="shared" si="1"/>
        <v>7057</v>
      </c>
      <c r="T15" s="37">
        <f t="shared" si="0"/>
        <v>38859</v>
      </c>
      <c r="U15" s="213"/>
    </row>
    <row r="16" spans="1:23">
      <c r="A16" s="258">
        <v>9</v>
      </c>
      <c r="B16" s="28">
        <v>43040</v>
      </c>
      <c r="C16" s="32">
        <f t="shared" si="10"/>
        <v>18440</v>
      </c>
      <c r="D16" s="27">
        <f t="shared" ref="D16:D19" si="12">ROUND(C16*139%, 0)</f>
        <v>25632</v>
      </c>
      <c r="E16" s="32">
        <f>IF(Home!C$12="metro",C16*20%,IF(Home!C$12="Non-Metro",C16*10%, ""))</f>
        <v>1844</v>
      </c>
      <c r="F16" s="32" t="str">
        <f>IF(Home!$C$12="metro",IF(Home!$C$13="Jaipur",IF(C16&lt;=7000,190,IF(C16&lt;=9000,300,480)),IF(C16&lt;=7000,70,IF(C16&lt;=9000,130,240))),"")</f>
        <v/>
      </c>
      <c r="G16" s="33"/>
      <c r="H16" s="36">
        <f t="shared" si="3"/>
        <v>45916</v>
      </c>
      <c r="I16" s="27">
        <f>IF(Home!$C$16&lt;=0,ROUND((C16+D16)*10%,0),"")</f>
        <v>4407</v>
      </c>
      <c r="J16" s="32" t="str">
        <f t="shared" si="4"/>
        <v/>
      </c>
      <c r="K16" s="84" t="str">
        <f t="shared" si="5"/>
        <v/>
      </c>
      <c r="L16" s="238" t="str">
        <f>IF(Home!C$16&gt;0, IF(C16&lt;=7000,205,IF(C16&lt;=13000,341,IF(C16&lt;=21000,511,680))), "")</f>
        <v/>
      </c>
      <c r="M16" s="32">
        <f t="shared" si="6"/>
        <v>2650</v>
      </c>
      <c r="N16" s="84" t="str">
        <f t="shared" si="7"/>
        <v/>
      </c>
      <c r="O16" s="238" t="str">
        <f t="shared" si="11"/>
        <v/>
      </c>
      <c r="P16" s="32" t="str">
        <f t="shared" si="8"/>
        <v/>
      </c>
      <c r="Q16" s="27"/>
      <c r="R16" s="32">
        <f t="shared" si="9"/>
        <v>0</v>
      </c>
      <c r="S16" s="37">
        <f t="shared" si="1"/>
        <v>7057</v>
      </c>
      <c r="T16" s="37">
        <f t="shared" si="0"/>
        <v>38859</v>
      </c>
      <c r="U16" s="213"/>
    </row>
    <row r="17" spans="1:21">
      <c r="A17" s="258">
        <v>10</v>
      </c>
      <c r="B17" s="28">
        <v>43070</v>
      </c>
      <c r="C17" s="32">
        <f t="shared" si="10"/>
        <v>18440</v>
      </c>
      <c r="D17" s="27">
        <f t="shared" si="12"/>
        <v>25632</v>
      </c>
      <c r="E17" s="32">
        <f>IF(Home!C$12="metro",C17*20%,IF(Home!C$12="Non-Metro",C17*10%, ""))</f>
        <v>1844</v>
      </c>
      <c r="F17" s="32" t="str">
        <f>IF(Home!$C$12="metro",IF(Home!$C$13="Jaipur",IF(C17&lt;=7000,190,IF(C17&lt;=9000,300,480)),IF(C17&lt;=7000,70,IF(C17&lt;=9000,130,240))),"")</f>
        <v/>
      </c>
      <c r="G17" s="33"/>
      <c r="H17" s="36">
        <f t="shared" si="3"/>
        <v>45916</v>
      </c>
      <c r="I17" s="27">
        <f>IF(Home!$C$16&lt;=0,ROUND((C17+D17)*10%,0),"")</f>
        <v>4407</v>
      </c>
      <c r="J17" s="32" t="str">
        <f t="shared" si="4"/>
        <v/>
      </c>
      <c r="K17" s="84" t="str">
        <f t="shared" si="5"/>
        <v/>
      </c>
      <c r="L17" s="238" t="str">
        <f>IF(Home!C$16&gt;0, IF(C17&lt;=7000,205,IF(C17&lt;=13000,341,IF(C17&lt;=21000,511,680))), "")</f>
        <v/>
      </c>
      <c r="M17" s="32">
        <f t="shared" si="6"/>
        <v>2650</v>
      </c>
      <c r="N17" s="84" t="str">
        <f t="shared" si="7"/>
        <v/>
      </c>
      <c r="O17" s="238" t="str">
        <f t="shared" si="11"/>
        <v/>
      </c>
      <c r="P17" s="32" t="str">
        <f t="shared" si="8"/>
        <v/>
      </c>
      <c r="Q17" s="27"/>
      <c r="R17" s="32">
        <f>R16</f>
        <v>0</v>
      </c>
      <c r="S17" s="37">
        <f t="shared" si="1"/>
        <v>7057</v>
      </c>
      <c r="T17" s="37">
        <f t="shared" si="0"/>
        <v>38859</v>
      </c>
      <c r="U17" s="213"/>
    </row>
    <row r="18" spans="1:21">
      <c r="A18" s="258">
        <v>11</v>
      </c>
      <c r="B18" s="28">
        <v>43101</v>
      </c>
      <c r="C18" s="32">
        <f t="shared" si="10"/>
        <v>18440</v>
      </c>
      <c r="D18" s="27">
        <f t="shared" si="12"/>
        <v>25632</v>
      </c>
      <c r="E18" s="32">
        <f>IF(Home!C$12="metro",C18*20%,IF(Home!C$12="Non-Metro",C18*10%, ""))</f>
        <v>1844</v>
      </c>
      <c r="F18" s="32" t="str">
        <f>IF(Home!$C$12="metro",IF(Home!$C$13="Jaipur",IF(C18&lt;=7000,190,IF(C18&lt;=9000,300,480)),IF(C18&lt;=7000,70,IF(C18&lt;=9000,130,240))),"")</f>
        <v/>
      </c>
      <c r="G18" s="33"/>
      <c r="H18" s="36">
        <f t="shared" si="3"/>
        <v>45916</v>
      </c>
      <c r="I18" s="27">
        <f>IF(Home!$C$16&lt;=0,ROUND((C18+D18)*10%,0),"")</f>
        <v>4407</v>
      </c>
      <c r="J18" s="32" t="str">
        <f t="shared" si="4"/>
        <v/>
      </c>
      <c r="K18" s="84" t="str">
        <f t="shared" si="5"/>
        <v/>
      </c>
      <c r="L18" s="238" t="str">
        <f>IF(Home!C$16&gt;0, IF(C18&lt;=7000,205,IF(C18&lt;=13000,341,IF(C18&lt;=21000,511,680))), "")</f>
        <v/>
      </c>
      <c r="M18" s="32">
        <f t="shared" si="6"/>
        <v>2650</v>
      </c>
      <c r="N18" s="84" t="str">
        <f t="shared" si="7"/>
        <v/>
      </c>
      <c r="O18" s="238" t="str">
        <f t="shared" si="11"/>
        <v/>
      </c>
      <c r="P18" s="32" t="str">
        <f t="shared" si="8"/>
        <v/>
      </c>
      <c r="Q18" s="27"/>
      <c r="R18" s="32">
        <f>R17</f>
        <v>0</v>
      </c>
      <c r="S18" s="37">
        <f t="shared" si="1"/>
        <v>7057</v>
      </c>
      <c r="T18" s="37">
        <f t="shared" si="0"/>
        <v>38859</v>
      </c>
      <c r="U18" s="213"/>
    </row>
    <row r="19" spans="1:21">
      <c r="A19" s="258">
        <v>12</v>
      </c>
      <c r="B19" s="28">
        <v>43132</v>
      </c>
      <c r="C19" s="32">
        <f t="shared" si="10"/>
        <v>18440</v>
      </c>
      <c r="D19" s="27">
        <f t="shared" si="12"/>
        <v>25632</v>
      </c>
      <c r="E19" s="32">
        <f>IF(Home!C$12="metro",C19*20%,IF(Home!C$12="Non-Metro",C19*10%, ""))</f>
        <v>1844</v>
      </c>
      <c r="F19" s="32" t="str">
        <f>IF(Home!$C$12="metro",IF(Home!$C$13="Jaipur",IF(C19&lt;=7000,190,IF(C19&lt;=9000,300,480)),IF(C19&lt;=7000,70,IF(C19&lt;=9000,130,240))),"")</f>
        <v/>
      </c>
      <c r="G19" s="33"/>
      <c r="H19" s="36">
        <f t="shared" si="3"/>
        <v>45916</v>
      </c>
      <c r="I19" s="27">
        <f>IF(Home!$C$16&lt;=0,ROUND((C19+D19)*10%,0),"")</f>
        <v>4407</v>
      </c>
      <c r="J19" s="32" t="str">
        <f t="shared" si="4"/>
        <v/>
      </c>
      <c r="K19" s="84" t="str">
        <f t="shared" si="5"/>
        <v/>
      </c>
      <c r="L19" s="238" t="str">
        <f>IF(Home!C$16&gt;0, IF(C19&lt;=7000,205,IF(C19&lt;=13000,341,IF(C19&lt;=21000,511,680))), "")</f>
        <v/>
      </c>
      <c r="M19" s="32">
        <f t="shared" si="6"/>
        <v>2650</v>
      </c>
      <c r="N19" s="84" t="str">
        <f t="shared" si="7"/>
        <v/>
      </c>
      <c r="O19" s="238" t="str">
        <f t="shared" si="11"/>
        <v/>
      </c>
      <c r="P19" s="32" t="str">
        <f t="shared" si="8"/>
        <v/>
      </c>
      <c r="Q19" s="27"/>
      <c r="R19" s="32">
        <f>R18</f>
        <v>0</v>
      </c>
      <c r="S19" s="37">
        <f t="shared" si="1"/>
        <v>7057</v>
      </c>
      <c r="T19" s="37">
        <f t="shared" si="0"/>
        <v>38859</v>
      </c>
      <c r="U19" s="213"/>
    </row>
    <row r="20" spans="1:21">
      <c r="A20" s="258">
        <v>13</v>
      </c>
      <c r="B20" s="38" t="s">
        <v>457</v>
      </c>
      <c r="C20" s="31">
        <f>IF(Home!C19&gt;=7,C12/2,IF(Home!C19&gt;=4,C11/2,IF(Home!C19&gt;=1,C12/2,0)))</f>
        <v>0</v>
      </c>
      <c r="D20" s="31">
        <f>IF(Home!C19&gt;=7,ROUND(D16/2, 0),IF(Home!C19&gt;=4,ROUND(D11/2, 0),IF(Home!C19&gt;=1,ROUND(D16/2, 0),0)))</f>
        <v>0</v>
      </c>
      <c r="E20" s="32"/>
      <c r="F20" s="31"/>
      <c r="G20" s="33"/>
      <c r="H20" s="39">
        <f t="shared" si="3"/>
        <v>0</v>
      </c>
      <c r="I20" s="31"/>
      <c r="J20" s="32"/>
      <c r="K20" s="192"/>
      <c r="L20" s="193"/>
      <c r="M20" s="31"/>
      <c r="N20" s="31"/>
      <c r="O20" s="248"/>
      <c r="P20" s="31"/>
      <c r="Q20" s="31"/>
      <c r="R20" s="33"/>
      <c r="S20" s="37">
        <f t="shared" si="1"/>
        <v>0</v>
      </c>
      <c r="T20" s="194">
        <f t="shared" si="0"/>
        <v>0</v>
      </c>
      <c r="U20" s="213"/>
    </row>
    <row r="21" spans="1:21" ht="15" customHeight="1">
      <c r="A21" s="258">
        <v>14</v>
      </c>
      <c r="B21" s="485" t="s">
        <v>572</v>
      </c>
      <c r="C21" s="486"/>
      <c r="D21" s="33">
        <f>(D9-D8)*3</f>
        <v>2148</v>
      </c>
      <c r="E21" s="32"/>
      <c r="F21" s="27"/>
      <c r="G21" s="33"/>
      <c r="H21" s="36">
        <f t="shared" si="3"/>
        <v>2148</v>
      </c>
      <c r="I21" s="33">
        <f>IF(Home!$C$16&lt;=0,ROUND((I9-I8)*3,0),"")</f>
        <v>213</v>
      </c>
      <c r="J21" s="32" t="str">
        <f>IF(Home!$C$16&lt;=0,"",D21)</f>
        <v/>
      </c>
      <c r="K21" s="29"/>
      <c r="L21" s="30"/>
      <c r="M21" s="27"/>
      <c r="N21" s="33"/>
      <c r="O21" s="248"/>
      <c r="P21" s="33"/>
      <c r="Q21" s="27"/>
      <c r="R21" s="33"/>
      <c r="S21" s="37">
        <f t="shared" si="1"/>
        <v>213</v>
      </c>
      <c r="T21" s="37">
        <f t="shared" si="0"/>
        <v>1935</v>
      </c>
      <c r="U21" s="213"/>
    </row>
    <row r="22" spans="1:21" ht="15" customHeight="1">
      <c r="A22" s="258">
        <v>15</v>
      </c>
      <c r="B22" s="485" t="s">
        <v>580</v>
      </c>
      <c r="C22" s="486"/>
      <c r="D22" s="33">
        <f>3*(D16-D14)</f>
        <v>1662</v>
      </c>
      <c r="E22" s="32"/>
      <c r="F22" s="27"/>
      <c r="G22" s="33"/>
      <c r="H22" s="36">
        <f t="shared" si="3"/>
        <v>1662</v>
      </c>
      <c r="I22" s="33">
        <f>IF(Home!$C$16&lt;=0,ROUND((I16-I14)*3,0),"")</f>
        <v>165</v>
      </c>
      <c r="J22" s="32" t="str">
        <f>IF(Home!$C$16&lt;=0,"",D22)</f>
        <v/>
      </c>
      <c r="K22" s="29"/>
      <c r="L22" s="30"/>
      <c r="M22" s="27"/>
      <c r="N22" s="33"/>
      <c r="O22" s="248"/>
      <c r="P22" s="33"/>
      <c r="Q22" s="27"/>
      <c r="R22" s="33"/>
      <c r="S22" s="37">
        <f t="shared" si="1"/>
        <v>165</v>
      </c>
      <c r="T22" s="37">
        <f t="shared" si="0"/>
        <v>1497</v>
      </c>
      <c r="U22" s="213"/>
    </row>
    <row r="23" spans="1:21">
      <c r="A23" s="258">
        <v>16</v>
      </c>
      <c r="B23" s="38" t="s">
        <v>142</v>
      </c>
      <c r="C23" s="33"/>
      <c r="D23" s="33"/>
      <c r="E23" s="32"/>
      <c r="F23" s="33"/>
      <c r="G23" s="33">
        <f>IF(Home!C15&gt;4800, "", 6774)</f>
        <v>6774</v>
      </c>
      <c r="H23" s="36">
        <f t="shared" si="3"/>
        <v>6774</v>
      </c>
      <c r="I23" s="33"/>
      <c r="J23" s="32"/>
      <c r="K23" s="29"/>
      <c r="L23" s="34"/>
      <c r="M23" s="33"/>
      <c r="N23" s="33"/>
      <c r="O23" s="248"/>
      <c r="P23" s="33"/>
      <c r="Q23" s="33"/>
      <c r="R23" s="33"/>
      <c r="S23" s="37">
        <f t="shared" si="1"/>
        <v>0</v>
      </c>
      <c r="T23" s="37">
        <f t="shared" si="0"/>
        <v>6774</v>
      </c>
      <c r="U23" s="213"/>
    </row>
    <row r="24" spans="1:21" ht="15" customHeight="1">
      <c r="A24" s="258">
        <v>17</v>
      </c>
      <c r="B24" s="246" t="s">
        <v>460</v>
      </c>
      <c r="C24" s="33"/>
      <c r="D24" s="33"/>
      <c r="E24" s="33"/>
      <c r="F24" s="33"/>
      <c r="G24" s="33"/>
      <c r="H24" s="36">
        <f t="shared" si="3"/>
        <v>0</v>
      </c>
      <c r="I24" s="33"/>
      <c r="J24" s="32"/>
      <c r="K24" s="29"/>
      <c r="L24" s="34"/>
      <c r="M24" s="33"/>
      <c r="N24" s="33"/>
      <c r="O24" s="248"/>
      <c r="P24" s="33"/>
      <c r="Q24" s="33"/>
      <c r="R24" s="33"/>
      <c r="S24" s="37">
        <f t="shared" si="1"/>
        <v>0</v>
      </c>
      <c r="T24" s="37">
        <f t="shared" si="0"/>
        <v>0</v>
      </c>
      <c r="U24" s="213"/>
    </row>
    <row r="25" spans="1:21" ht="15" customHeight="1">
      <c r="A25" s="258">
        <v>18</v>
      </c>
      <c r="B25" s="38" t="s">
        <v>143</v>
      </c>
      <c r="C25" s="33"/>
      <c r="D25" s="35"/>
      <c r="E25" s="33"/>
      <c r="F25" s="33"/>
      <c r="G25" s="33"/>
      <c r="H25" s="36">
        <f t="shared" si="3"/>
        <v>0</v>
      </c>
      <c r="I25" s="33"/>
      <c r="J25" s="32"/>
      <c r="K25" s="29"/>
      <c r="L25" s="34"/>
      <c r="M25" s="33"/>
      <c r="N25" s="33"/>
      <c r="O25" s="248"/>
      <c r="P25" s="33"/>
      <c r="Q25" s="33"/>
      <c r="R25" s="33"/>
      <c r="S25" s="37">
        <f t="shared" si="1"/>
        <v>0</v>
      </c>
      <c r="T25" s="37">
        <f t="shared" si="0"/>
        <v>0</v>
      </c>
      <c r="U25" s="213"/>
    </row>
    <row r="26" spans="1:21">
      <c r="A26" s="483" t="s">
        <v>4</v>
      </c>
      <c r="B26" s="483"/>
      <c r="C26" s="27">
        <f>SUM(C8:C25)</f>
        <v>219120</v>
      </c>
      <c r="D26" s="27">
        <f t="shared" ref="D26:S26" si="13">SUM(D8:D25)</f>
        <v>303864</v>
      </c>
      <c r="E26" s="27">
        <f t="shared" si="13"/>
        <v>21912</v>
      </c>
      <c r="F26" s="27">
        <f t="shared" si="13"/>
        <v>0</v>
      </c>
      <c r="G26" s="27">
        <f t="shared" si="13"/>
        <v>6774</v>
      </c>
      <c r="H26" s="27">
        <f t="shared" si="13"/>
        <v>551670</v>
      </c>
      <c r="I26" s="27">
        <f t="shared" si="13"/>
        <v>52294</v>
      </c>
      <c r="J26" s="27">
        <f t="shared" si="13"/>
        <v>0</v>
      </c>
      <c r="K26" s="27">
        <f t="shared" si="13"/>
        <v>0</v>
      </c>
      <c r="L26" s="27">
        <f t="shared" si="13"/>
        <v>0</v>
      </c>
      <c r="M26" s="27">
        <f t="shared" si="13"/>
        <v>31800</v>
      </c>
      <c r="N26" s="27">
        <f t="shared" si="13"/>
        <v>0</v>
      </c>
      <c r="O26" s="27">
        <f t="shared" si="13"/>
        <v>0</v>
      </c>
      <c r="P26" s="27">
        <f t="shared" si="13"/>
        <v>0</v>
      </c>
      <c r="Q26" s="27">
        <f t="shared" si="13"/>
        <v>253</v>
      </c>
      <c r="R26" s="27">
        <f t="shared" si="13"/>
        <v>0</v>
      </c>
      <c r="S26" s="37">
        <f t="shared" si="13"/>
        <v>84347</v>
      </c>
      <c r="T26" s="37">
        <f>(SUM(T8:T25))</f>
        <v>467323</v>
      </c>
      <c r="U26" s="213"/>
    </row>
    <row r="27" spans="1:21">
      <c r="B27" s="484"/>
      <c r="C27" s="484"/>
      <c r="D27" s="11"/>
      <c r="E27" s="11"/>
      <c r="F27" s="11"/>
      <c r="G27" s="11"/>
      <c r="H27" s="11"/>
      <c r="I27" s="11"/>
      <c r="J27" s="11"/>
      <c r="K27" s="11"/>
      <c r="L27" s="11"/>
      <c r="M27" s="11"/>
      <c r="N27" s="11"/>
      <c r="O27" s="11"/>
      <c r="P27" s="11"/>
      <c r="Q27" s="11"/>
      <c r="R27" s="11"/>
      <c r="S27" s="11"/>
      <c r="T27" s="12"/>
    </row>
    <row r="28" spans="1:21">
      <c r="B28" s="480"/>
      <c r="C28" s="480"/>
      <c r="D28" s="11"/>
      <c r="E28" s="11"/>
      <c r="F28" s="11"/>
      <c r="G28" s="11"/>
      <c r="H28" s="11"/>
      <c r="I28" s="11"/>
      <c r="J28" s="11"/>
      <c r="K28" s="11"/>
      <c r="L28" s="11"/>
      <c r="M28" s="11"/>
      <c r="N28" s="479"/>
      <c r="O28" s="479"/>
      <c r="P28" s="479"/>
      <c r="Q28" s="479"/>
      <c r="R28" s="11"/>
      <c r="S28" s="11"/>
      <c r="T28" s="11"/>
    </row>
    <row r="29" spans="1:21">
      <c r="B29" s="11"/>
      <c r="C29" s="11"/>
      <c r="D29" s="11"/>
      <c r="E29" s="11"/>
      <c r="F29" s="11"/>
      <c r="G29" s="11"/>
      <c r="H29" s="474" t="s">
        <v>9</v>
      </c>
      <c r="I29" s="474"/>
      <c r="J29" s="474"/>
      <c r="K29" s="474"/>
      <c r="L29" s="11"/>
      <c r="M29" s="13"/>
      <c r="N29" s="474" t="s">
        <v>195</v>
      </c>
      <c r="O29" s="474"/>
      <c r="P29" s="474"/>
      <c r="Q29" s="474"/>
      <c r="R29" s="474"/>
      <c r="S29" s="474"/>
      <c r="T29" s="11"/>
    </row>
    <row r="30" spans="1:21">
      <c r="B30" s="11"/>
      <c r="C30" s="11"/>
      <c r="D30" s="11"/>
      <c r="E30" s="11"/>
      <c r="F30" s="11"/>
      <c r="G30" s="11"/>
      <c r="H30" s="11"/>
      <c r="I30" s="11"/>
      <c r="J30" s="11"/>
      <c r="K30" s="11"/>
      <c r="L30" s="11"/>
      <c r="M30" s="11"/>
      <c r="N30" s="11"/>
      <c r="O30" s="11"/>
      <c r="P30" s="11"/>
      <c r="Q30" s="11"/>
      <c r="R30" s="11"/>
      <c r="S30" s="11"/>
      <c r="T30" s="11"/>
    </row>
    <row r="31" spans="1:21">
      <c r="B31" s="11"/>
      <c r="C31" s="11"/>
      <c r="D31" s="11"/>
      <c r="E31" s="11"/>
      <c r="F31" s="11"/>
      <c r="G31" s="11"/>
      <c r="H31" s="13"/>
      <c r="I31" s="13"/>
      <c r="J31" s="13"/>
      <c r="K31" s="13"/>
      <c r="L31" s="13"/>
      <c r="M31" s="11"/>
      <c r="N31" s="11"/>
      <c r="O31" s="11"/>
      <c r="P31" s="11"/>
      <c r="Q31" s="11"/>
      <c r="R31" s="11"/>
      <c r="S31" s="11"/>
      <c r="T31" s="11"/>
    </row>
    <row r="32" spans="1:21">
      <c r="A32" s="2" t="s">
        <v>342</v>
      </c>
    </row>
  </sheetData>
  <sheetProtection password="CF6D" sheet="1" objects="1" scenarios="1" formatCells="0" formatColumns="0" formatRows="0" insertColumns="0" insertRows="0" selectLockedCells="1"/>
  <mergeCells count="24">
    <mergeCell ref="B6:B7"/>
    <mergeCell ref="U6:U7"/>
    <mergeCell ref="A4:C4"/>
    <mergeCell ref="A2:U3"/>
    <mergeCell ref="T4:U4"/>
    <mergeCell ref="D4:H4"/>
    <mergeCell ref="L4:P4"/>
    <mergeCell ref="I4:K4"/>
    <mergeCell ref="A1:U1"/>
    <mergeCell ref="N29:S29"/>
    <mergeCell ref="H29:K29"/>
    <mergeCell ref="I6:S6"/>
    <mergeCell ref="N28:Q28"/>
    <mergeCell ref="B28:C28"/>
    <mergeCell ref="C6:G6"/>
    <mergeCell ref="H6:H7"/>
    <mergeCell ref="A26:B26"/>
    <mergeCell ref="B27:C27"/>
    <mergeCell ref="B22:C22"/>
    <mergeCell ref="B21:C21"/>
    <mergeCell ref="A5:U5"/>
    <mergeCell ref="Q4:S4"/>
    <mergeCell ref="A6:A7"/>
    <mergeCell ref="T6:T7"/>
  </mergeCells>
  <conditionalFormatting sqref="C12">
    <cfRule type="cellIs" dxfId="1" priority="2" stopIfTrue="1" operator="equal">
      <formula>0</formula>
    </cfRule>
  </conditionalFormatting>
  <dataValidations count="4">
    <dataValidation type="whole" operator="equal" allowBlank="1" showInputMessage="1" showErrorMessage="1" sqref="M20">
      <formula1>1300</formula1>
    </dataValidation>
    <dataValidation operator="equal" allowBlank="1" showInputMessage="1" showErrorMessage="1" sqref="R9 N8:N19 P8:P19 K9"/>
    <dataValidation showInputMessage="1" showErrorMessage="1" sqref="N7:P7"/>
    <dataValidation type="whole" operator="equal" allowBlank="1" showInputMessage="1" showErrorMessage="1" sqref="M7 M21:M24 M27:P27">
      <formula1>1200</formula1>
    </dataValidation>
  </dataValidations>
  <printOptions horizontalCentered="1"/>
  <pageMargins left="7.874015748031496E-2" right="7.874015748031496E-2" top="0.55118110236220474" bottom="0.55118110236220474" header="0" footer="0"/>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O91"/>
  <sheetViews>
    <sheetView workbookViewId="0">
      <selection activeCell="G24" sqref="G24"/>
    </sheetView>
  </sheetViews>
  <sheetFormatPr defaultColWidth="0" defaultRowHeight="15" zeroHeight="1"/>
  <cols>
    <col min="1" max="1" width="2.42578125" customWidth="1"/>
    <col min="2" max="2" width="4.7109375" customWidth="1"/>
    <col min="3" max="3" width="3" customWidth="1"/>
    <col min="4" max="4" width="8.28515625" customWidth="1"/>
    <col min="5" max="5" width="8" customWidth="1"/>
    <col min="6" max="6" width="5.28515625" customWidth="1"/>
    <col min="7" max="7" width="9.42578125" customWidth="1"/>
    <col min="8" max="8" width="5" customWidth="1"/>
    <col min="9" max="9" width="10" customWidth="1"/>
    <col min="10" max="10" width="10.28515625" customWidth="1"/>
    <col min="11" max="11" width="6.140625" customWidth="1"/>
    <col min="12" max="12" width="10.85546875" customWidth="1"/>
    <col min="13" max="13" width="14.42578125" style="96" customWidth="1"/>
    <col min="14" max="14" width="2.28515625" customWidth="1"/>
    <col min="15" max="15" width="0" hidden="1" customWidth="1"/>
    <col min="16" max="16384" width="9.140625" hidden="1"/>
  </cols>
  <sheetData>
    <row r="1" spans="1:13" ht="15.75">
      <c r="A1" s="532" t="str">
        <f>'G.A. 55'!A1:U1</f>
        <v xml:space="preserve"> Office of the  HEADMASTER, GOVT SECONDARY SCHOOL DHANERU (BIKANER)</v>
      </c>
      <c r="B1" s="533"/>
      <c r="C1" s="533"/>
      <c r="D1" s="533"/>
      <c r="E1" s="533"/>
      <c r="F1" s="533"/>
      <c r="G1" s="533"/>
      <c r="H1" s="533"/>
      <c r="I1" s="533"/>
      <c r="J1" s="533"/>
      <c r="K1" s="533"/>
      <c r="L1" s="533"/>
      <c r="M1" s="533"/>
    </row>
    <row r="2" spans="1:13" ht="16.5" thickBot="1">
      <c r="A2" s="534" t="s">
        <v>464</v>
      </c>
      <c r="B2" s="534"/>
      <c r="C2" s="534"/>
      <c r="D2" s="534"/>
      <c r="E2" s="534"/>
      <c r="F2" s="534"/>
      <c r="G2" s="534"/>
      <c r="H2" s="534"/>
      <c r="I2" s="534"/>
      <c r="J2" s="534"/>
      <c r="K2" s="534"/>
      <c r="L2" s="534"/>
      <c r="M2" s="534"/>
    </row>
    <row r="3" spans="1:13" ht="15.75">
      <c r="A3" s="113">
        <v>1</v>
      </c>
      <c r="B3" s="515" t="s">
        <v>158</v>
      </c>
      <c r="C3" s="516"/>
      <c r="D3" s="516"/>
      <c r="E3" s="549" t="str">
        <f>'G.A. 55'!D4</f>
        <v>VIJAY RANWA</v>
      </c>
      <c r="F3" s="550"/>
      <c r="G3" s="550"/>
      <c r="H3" s="551"/>
      <c r="I3" s="211" t="s">
        <v>159</v>
      </c>
      <c r="J3" s="535" t="str">
        <f>'G.A. 55'!L4</f>
        <v xml:space="preserve"> TEACHER</v>
      </c>
      <c r="K3" s="536"/>
      <c r="L3" s="259" t="s">
        <v>189</v>
      </c>
      <c r="M3" s="115" t="str">
        <f>'G.A. 55'!T4</f>
        <v>BPGPS1184D</v>
      </c>
    </row>
    <row r="4" spans="1:13" ht="15.75">
      <c r="A4" s="114">
        <v>2</v>
      </c>
      <c r="B4" s="522" t="s">
        <v>465</v>
      </c>
      <c r="C4" s="523"/>
      <c r="D4" s="523"/>
      <c r="E4" s="523"/>
      <c r="F4" s="523"/>
      <c r="G4" s="523"/>
      <c r="H4" s="523"/>
      <c r="I4" s="523"/>
      <c r="J4" s="546" t="str">
        <f xml:space="preserve"> IF(Home!C16&gt;0,  "", "(+ Govt. Contri. towards NPS)")</f>
        <v>(+ Govt. Contri. towards NPS)</v>
      </c>
      <c r="K4" s="546"/>
      <c r="L4" s="547"/>
      <c r="M4" s="87">
        <f>'G.A. 55'!H26+'G.A. 55'!I26</f>
        <v>603964</v>
      </c>
    </row>
    <row r="5" spans="1:13" ht="15.75">
      <c r="A5" s="114">
        <v>3</v>
      </c>
      <c r="B5" s="512" t="s">
        <v>253</v>
      </c>
      <c r="C5" s="512"/>
      <c r="D5" s="512"/>
      <c r="E5" s="512"/>
      <c r="F5" s="512"/>
      <c r="G5" s="512"/>
      <c r="H5" s="512"/>
      <c r="I5" s="512"/>
      <c r="J5" s="512"/>
      <c r="K5" s="512"/>
      <c r="L5" s="512"/>
      <c r="M5" s="87">
        <f>Home!D21+Home!C23</f>
        <v>7702</v>
      </c>
    </row>
    <row r="6" spans="1:13" ht="14.25" customHeight="1">
      <c r="A6" s="114">
        <v>4</v>
      </c>
      <c r="B6" s="543" t="s">
        <v>160</v>
      </c>
      <c r="C6" s="543"/>
      <c r="D6" s="543"/>
      <c r="E6" s="543"/>
      <c r="F6" s="543"/>
      <c r="G6" s="543"/>
      <c r="H6" s="543"/>
      <c r="I6" s="543"/>
      <c r="J6" s="543"/>
      <c r="K6" s="543"/>
      <c r="L6" s="543"/>
      <c r="M6" s="87">
        <f>M4-M5</f>
        <v>596262</v>
      </c>
    </row>
    <row r="7" spans="1:13" ht="15.75">
      <c r="A7" s="114">
        <v>5</v>
      </c>
      <c r="B7" s="522" t="s">
        <v>254</v>
      </c>
      <c r="C7" s="523"/>
      <c r="D7" s="523"/>
      <c r="E7" s="523"/>
      <c r="F7" s="523"/>
      <c r="G7" s="523"/>
      <c r="H7" s="523"/>
      <c r="I7" s="523"/>
      <c r="J7" s="523"/>
      <c r="K7" s="544"/>
      <c r="L7" s="544"/>
      <c r="M7" s="87">
        <f>Home!C22</f>
        <v>0</v>
      </c>
    </row>
    <row r="8" spans="1:13" ht="16.5" customHeight="1">
      <c r="A8" s="114">
        <v>6</v>
      </c>
      <c r="B8" s="542" t="s">
        <v>161</v>
      </c>
      <c r="C8" s="542"/>
      <c r="D8" s="542"/>
      <c r="E8" s="542"/>
      <c r="F8" s="542"/>
      <c r="G8" s="542"/>
      <c r="H8" s="542"/>
      <c r="I8" s="542"/>
      <c r="J8" s="542"/>
      <c r="K8" s="542"/>
      <c r="L8" s="542"/>
      <c r="M8" s="87">
        <f>M6-M7</f>
        <v>596262</v>
      </c>
    </row>
    <row r="9" spans="1:13" ht="15.75">
      <c r="A9" s="548">
        <v>7</v>
      </c>
      <c r="B9" s="512" t="s">
        <v>186</v>
      </c>
      <c r="C9" s="512"/>
      <c r="D9" s="512"/>
      <c r="E9" s="512"/>
      <c r="F9" s="512"/>
      <c r="G9" s="512"/>
      <c r="H9" s="512"/>
      <c r="I9" s="542" t="s">
        <v>162</v>
      </c>
      <c r="J9" s="542"/>
      <c r="K9" s="544">
        <f>Home!C26</f>
        <v>0</v>
      </c>
      <c r="L9" s="544"/>
      <c r="M9" s="87">
        <f>M8+K9</f>
        <v>596262</v>
      </c>
    </row>
    <row r="10" spans="1:13" ht="15.75">
      <c r="A10" s="548"/>
      <c r="B10" s="537" t="s">
        <v>163</v>
      </c>
      <c r="C10" s="538"/>
      <c r="D10" s="517" t="s">
        <v>255</v>
      </c>
      <c r="E10" s="541"/>
      <c r="F10" s="518"/>
      <c r="G10" s="517" t="s">
        <v>188</v>
      </c>
      <c r="H10" s="518"/>
      <c r="I10" s="542" t="s">
        <v>164</v>
      </c>
      <c r="J10" s="542"/>
      <c r="K10" s="542" t="s">
        <v>165</v>
      </c>
      <c r="L10" s="542"/>
      <c r="M10" s="50"/>
    </row>
    <row r="11" spans="1:13" ht="15" customHeight="1">
      <c r="A11" s="548"/>
      <c r="B11" s="539"/>
      <c r="C11" s="540"/>
      <c r="D11" s="519">
        <f>ROUND((K9-I11)*0.3,0)</f>
        <v>0</v>
      </c>
      <c r="E11" s="545"/>
      <c r="F11" s="520"/>
      <c r="G11" s="519">
        <f>Home!C35</f>
        <v>0</v>
      </c>
      <c r="H11" s="520"/>
      <c r="I11" s="544">
        <f>Home!C27</f>
        <v>0</v>
      </c>
      <c r="J11" s="544"/>
      <c r="K11" s="544">
        <f>D11+G11+I11</f>
        <v>0</v>
      </c>
      <c r="L11" s="544"/>
      <c r="M11" s="87">
        <f>M9-K11</f>
        <v>596262</v>
      </c>
    </row>
    <row r="12" spans="1:13" ht="15" customHeight="1">
      <c r="A12" s="552">
        <v>8</v>
      </c>
      <c r="B12" s="512" t="s">
        <v>187</v>
      </c>
      <c r="C12" s="512"/>
      <c r="D12" s="512"/>
      <c r="E12" s="512"/>
      <c r="F12" s="512"/>
      <c r="G12" s="512"/>
      <c r="H12" s="512"/>
      <c r="I12" s="512"/>
      <c r="J12" s="512"/>
      <c r="K12" s="512"/>
      <c r="L12" s="512"/>
      <c r="M12" s="87"/>
    </row>
    <row r="13" spans="1:13" ht="15.75">
      <c r="A13" s="553"/>
      <c r="B13" s="566" t="s">
        <v>230</v>
      </c>
      <c r="C13" s="567"/>
      <c r="D13" s="568"/>
      <c r="E13" s="566" t="s">
        <v>231</v>
      </c>
      <c r="F13" s="567"/>
      <c r="G13" s="566" t="s">
        <v>232</v>
      </c>
      <c r="H13" s="568"/>
      <c r="I13" s="517" t="s">
        <v>10</v>
      </c>
      <c r="J13" s="518"/>
      <c r="K13" s="517" t="s">
        <v>11</v>
      </c>
      <c r="L13" s="518"/>
      <c r="M13" s="87"/>
    </row>
    <row r="14" spans="1:13" ht="15.75">
      <c r="A14" s="554"/>
      <c r="B14" s="569">
        <f>Home!C28</f>
        <v>0</v>
      </c>
      <c r="C14" s="529"/>
      <c r="D14" s="530"/>
      <c r="E14" s="569">
        <f>Home!C30</f>
        <v>0</v>
      </c>
      <c r="F14" s="529"/>
      <c r="G14" s="569">
        <f>Home!C31</f>
        <v>0</v>
      </c>
      <c r="H14" s="530"/>
      <c r="I14" s="569">
        <f>Home!C29</f>
        <v>0</v>
      </c>
      <c r="J14" s="530"/>
      <c r="K14" s="569">
        <f>Home!C32</f>
        <v>0</v>
      </c>
      <c r="L14" s="530"/>
      <c r="M14" s="87"/>
    </row>
    <row r="15" spans="1:13" ht="15.75">
      <c r="A15" s="114">
        <v>9</v>
      </c>
      <c r="B15" s="512" t="s">
        <v>213</v>
      </c>
      <c r="C15" s="512"/>
      <c r="D15" s="512"/>
      <c r="E15" s="512"/>
      <c r="F15" s="512"/>
      <c r="G15" s="512"/>
      <c r="H15" s="512"/>
      <c r="I15" s="512"/>
      <c r="J15" s="512"/>
      <c r="K15" s="512"/>
      <c r="L15" s="512"/>
      <c r="M15" s="87">
        <f>M11+B14+E14+G14+I14+K14</f>
        <v>596262</v>
      </c>
    </row>
    <row r="16" spans="1:13" ht="15.75">
      <c r="A16" s="560">
        <v>10</v>
      </c>
      <c r="B16" s="555" t="s">
        <v>311</v>
      </c>
      <c r="C16" s="555"/>
      <c r="D16" s="555"/>
      <c r="E16" s="555"/>
      <c r="F16" s="555"/>
      <c r="G16" s="555"/>
      <c r="H16" s="555"/>
      <c r="I16" s="555"/>
      <c r="J16" s="555"/>
      <c r="K16" s="555"/>
      <c r="L16" s="555"/>
      <c r="M16" s="556"/>
    </row>
    <row r="17" spans="1:15" ht="15.75">
      <c r="A17" s="560"/>
      <c r="B17" s="557" t="s">
        <v>312</v>
      </c>
      <c r="C17" s="557"/>
      <c r="D17" s="557"/>
      <c r="E17" s="557"/>
      <c r="F17" s="557"/>
      <c r="G17" s="557"/>
      <c r="H17" s="557"/>
      <c r="I17" s="557"/>
      <c r="J17" s="557"/>
      <c r="K17" s="557"/>
      <c r="L17" s="557"/>
      <c r="M17" s="558"/>
    </row>
    <row r="18" spans="1:15" ht="15.75">
      <c r="A18" s="560"/>
      <c r="B18" s="42" t="s">
        <v>166</v>
      </c>
      <c r="C18" s="512" t="s">
        <v>233</v>
      </c>
      <c r="D18" s="512"/>
      <c r="E18" s="512"/>
      <c r="F18" s="512"/>
      <c r="G18" s="43">
        <f>'G.A. 55'!M26</f>
        <v>31800</v>
      </c>
      <c r="H18" s="42" t="s">
        <v>167</v>
      </c>
      <c r="I18" s="559" t="s">
        <v>315</v>
      </c>
      <c r="J18" s="559"/>
      <c r="K18" s="559"/>
      <c r="L18" s="43">
        <f>IF(Home!C16&gt;0,0,'G.A. 55'!I26)</f>
        <v>52294</v>
      </c>
      <c r="M18" s="561"/>
    </row>
    <row r="19" spans="1:15" ht="15.75">
      <c r="A19" s="560"/>
      <c r="B19" s="42" t="s">
        <v>168</v>
      </c>
      <c r="C19" s="512" t="s">
        <v>234</v>
      </c>
      <c r="D19" s="512"/>
      <c r="E19" s="512"/>
      <c r="F19" s="512"/>
      <c r="G19" s="43">
        <f>Home!C38+'G.A. 55'!P26</f>
        <v>0</v>
      </c>
      <c r="H19" s="42" t="s">
        <v>169</v>
      </c>
      <c r="I19" s="521" t="s">
        <v>341</v>
      </c>
      <c r="J19" s="521"/>
      <c r="K19" s="521"/>
      <c r="L19" s="43">
        <f>Home!C46</f>
        <v>0</v>
      </c>
      <c r="M19" s="562"/>
    </row>
    <row r="20" spans="1:15" ht="15.75">
      <c r="A20" s="560"/>
      <c r="B20" s="42" t="s">
        <v>170</v>
      </c>
      <c r="C20" s="512" t="s">
        <v>235</v>
      </c>
      <c r="D20" s="512"/>
      <c r="E20" s="512"/>
      <c r="F20" s="512"/>
      <c r="G20" s="43">
        <f>Home!C43</f>
        <v>0</v>
      </c>
      <c r="H20" s="42" t="s">
        <v>171</v>
      </c>
      <c r="I20" s="521" t="s">
        <v>34</v>
      </c>
      <c r="J20" s="521"/>
      <c r="K20" s="521"/>
      <c r="L20" s="44">
        <f>Home!C28</f>
        <v>0</v>
      </c>
      <c r="M20" s="562"/>
    </row>
    <row r="21" spans="1:15" ht="15.75">
      <c r="A21" s="560"/>
      <c r="B21" s="42" t="s">
        <v>172</v>
      </c>
      <c r="C21" s="512" t="s">
        <v>236</v>
      </c>
      <c r="D21" s="512"/>
      <c r="E21" s="512"/>
      <c r="F21" s="512"/>
      <c r="G21" s="43">
        <f>Home!C45</f>
        <v>0</v>
      </c>
      <c r="H21" s="42" t="s">
        <v>173</v>
      </c>
      <c r="I21" s="521" t="s">
        <v>146</v>
      </c>
      <c r="J21" s="521"/>
      <c r="K21" s="521"/>
      <c r="L21" s="44">
        <f>Home!C40</f>
        <v>0</v>
      </c>
      <c r="M21" s="562"/>
    </row>
    <row r="22" spans="1:15" ht="15.75">
      <c r="A22" s="560"/>
      <c r="B22" s="42" t="s">
        <v>174</v>
      </c>
      <c r="C22" s="512" t="s">
        <v>237</v>
      </c>
      <c r="D22" s="512"/>
      <c r="E22" s="512"/>
      <c r="F22" s="512"/>
      <c r="G22" s="43">
        <f>Home!C41</f>
        <v>0</v>
      </c>
      <c r="H22" s="42" t="s">
        <v>175</v>
      </c>
      <c r="I22" s="521" t="s">
        <v>138</v>
      </c>
      <c r="J22" s="521"/>
      <c r="K22" s="521"/>
      <c r="L22" s="43">
        <f>Home!C47</f>
        <v>0</v>
      </c>
      <c r="M22" s="562"/>
    </row>
    <row r="23" spans="1:15" ht="15.75">
      <c r="A23" s="560"/>
      <c r="B23" s="42" t="s">
        <v>176</v>
      </c>
      <c r="C23" s="512" t="s">
        <v>238</v>
      </c>
      <c r="D23" s="512"/>
      <c r="E23" s="512"/>
      <c r="F23" s="512"/>
      <c r="G23" s="43" t="str">
        <f>IF(Home!C16&gt;0, 'G.A. 55'!J26,"")</f>
        <v/>
      </c>
      <c r="H23" s="42" t="s">
        <v>177</v>
      </c>
      <c r="I23" s="521" t="s">
        <v>305</v>
      </c>
      <c r="J23" s="521"/>
      <c r="K23" s="521"/>
      <c r="L23" s="43">
        <f>Home!C49</f>
        <v>0</v>
      </c>
      <c r="M23" s="562"/>
    </row>
    <row r="24" spans="1:15" ht="15.75">
      <c r="A24" s="560"/>
      <c r="B24" s="42" t="s">
        <v>178</v>
      </c>
      <c r="C24" s="522" t="s">
        <v>239</v>
      </c>
      <c r="D24" s="523"/>
      <c r="E24" s="523"/>
      <c r="F24" s="524"/>
      <c r="G24" s="967">
        <v>220</v>
      </c>
      <c r="H24" s="42" t="s">
        <v>179</v>
      </c>
      <c r="I24" s="525" t="s">
        <v>243</v>
      </c>
      <c r="J24" s="525"/>
      <c r="K24" s="525"/>
      <c r="L24" s="43">
        <f>Home!C39</f>
        <v>0</v>
      </c>
      <c r="M24" s="562"/>
    </row>
    <row r="25" spans="1:15" ht="15.75">
      <c r="A25" s="560"/>
      <c r="B25" s="42" t="s">
        <v>180</v>
      </c>
      <c r="C25" s="512" t="s">
        <v>240</v>
      </c>
      <c r="D25" s="512"/>
      <c r="E25" s="512"/>
      <c r="F25" s="512"/>
      <c r="G25" s="44">
        <f>Home!C42</f>
        <v>0</v>
      </c>
      <c r="H25" s="42" t="s">
        <v>181</v>
      </c>
      <c r="I25" s="525" t="s">
        <v>474</v>
      </c>
      <c r="J25" s="525"/>
      <c r="K25" s="525"/>
      <c r="L25" s="43">
        <f>Home!C50</f>
        <v>0</v>
      </c>
      <c r="M25" s="563"/>
    </row>
    <row r="26" spans="1:15" ht="15" customHeight="1">
      <c r="A26" s="560"/>
      <c r="B26" s="42" t="s">
        <v>182</v>
      </c>
      <c r="C26" s="512" t="s">
        <v>241</v>
      </c>
      <c r="D26" s="512"/>
      <c r="E26" s="512"/>
      <c r="F26" s="512"/>
      <c r="G26" s="43">
        <f>Home!C34</f>
        <v>0</v>
      </c>
      <c r="H26" s="528" t="s">
        <v>242</v>
      </c>
      <c r="I26" s="529"/>
      <c r="J26" s="529"/>
      <c r="K26" s="530"/>
      <c r="L26" s="244">
        <f>SUM(G18:G26)+SUM(L18:L25)</f>
        <v>84314</v>
      </c>
      <c r="M26" s="51">
        <f>IF(L26&lt;150001, L26, 150000)</f>
        <v>84314</v>
      </c>
    </row>
    <row r="27" spans="1:15" ht="15.75" customHeight="1">
      <c r="A27" s="560"/>
      <c r="B27" s="526" t="s">
        <v>338</v>
      </c>
      <c r="C27" s="527"/>
      <c r="D27" s="527"/>
      <c r="E27" s="527"/>
      <c r="F27" s="527"/>
      <c r="G27" s="527"/>
      <c r="H27" s="527"/>
      <c r="I27" s="527"/>
      <c r="J27" s="527"/>
      <c r="K27" s="527"/>
      <c r="L27" s="237">
        <f>L18</f>
        <v>52294</v>
      </c>
      <c r="M27" s="564"/>
    </row>
    <row r="28" spans="1:15" ht="15.75" customHeight="1">
      <c r="A28" s="560"/>
      <c r="B28" s="526" t="s">
        <v>573</v>
      </c>
      <c r="C28" s="527"/>
      <c r="D28" s="527"/>
      <c r="E28" s="527"/>
      <c r="F28" s="527"/>
      <c r="G28" s="527"/>
      <c r="H28" s="527"/>
      <c r="I28" s="527"/>
      <c r="J28" s="527"/>
      <c r="K28" s="527"/>
      <c r="L28" s="228">
        <f>Home!C44</f>
        <v>0</v>
      </c>
      <c r="M28" s="565"/>
      <c r="O28" s="52"/>
    </row>
    <row r="29" spans="1:15">
      <c r="A29" s="560"/>
      <c r="B29" s="531" t="s">
        <v>36</v>
      </c>
      <c r="C29" s="513"/>
      <c r="D29" s="513"/>
      <c r="E29" s="513"/>
      <c r="F29" s="513"/>
      <c r="G29" s="513"/>
      <c r="H29" s="514"/>
      <c r="I29" s="531" t="str">
        <f>IF('G.A. 55'!I7="CPF", "+US 80CCD(2)", "")</f>
        <v/>
      </c>
      <c r="J29" s="514"/>
      <c r="K29" s="513" t="s">
        <v>214</v>
      </c>
      <c r="L29" s="514"/>
      <c r="M29" s="87">
        <f>M26+L27+L28</f>
        <v>136608</v>
      </c>
    </row>
    <row r="30" spans="1:15" ht="15.75">
      <c r="A30" s="560">
        <v>11</v>
      </c>
      <c r="B30" s="574" t="s">
        <v>313</v>
      </c>
      <c r="C30" s="574"/>
      <c r="D30" s="574"/>
      <c r="E30" s="574"/>
      <c r="F30" s="574"/>
      <c r="G30" s="574"/>
      <c r="H30" s="574"/>
      <c r="I30" s="574"/>
      <c r="J30" s="574"/>
      <c r="K30" s="574"/>
      <c r="L30" s="574"/>
      <c r="M30" s="575"/>
    </row>
    <row r="31" spans="1:15" ht="15.75">
      <c r="A31" s="560"/>
      <c r="B31" s="512" t="s">
        <v>314</v>
      </c>
      <c r="C31" s="512"/>
      <c r="D31" s="512"/>
      <c r="E31" s="512"/>
      <c r="F31" s="512"/>
      <c r="G31" s="512"/>
      <c r="H31" s="512"/>
      <c r="I31" s="512"/>
      <c r="J31" s="512"/>
      <c r="K31" s="512"/>
      <c r="L31" s="512"/>
      <c r="M31" s="87">
        <f>Home!C54</f>
        <v>0</v>
      </c>
    </row>
    <row r="32" spans="1:15" ht="15.75">
      <c r="A32" s="560"/>
      <c r="B32" s="512" t="s">
        <v>303</v>
      </c>
      <c r="C32" s="512"/>
      <c r="D32" s="512"/>
      <c r="E32" s="512"/>
      <c r="F32" s="512"/>
      <c r="G32" s="512"/>
      <c r="H32" s="512"/>
      <c r="I32" s="512"/>
      <c r="J32" s="512"/>
      <c r="K32" s="512"/>
      <c r="L32" s="512"/>
      <c r="M32" s="87">
        <f>Home!C55</f>
        <v>0</v>
      </c>
    </row>
    <row r="33" spans="1:13" ht="15.75">
      <c r="A33" s="560"/>
      <c r="B33" s="512" t="s">
        <v>244</v>
      </c>
      <c r="C33" s="512"/>
      <c r="D33" s="512"/>
      <c r="E33" s="512"/>
      <c r="F33" s="512"/>
      <c r="G33" s="512"/>
      <c r="H33" s="512"/>
      <c r="I33" s="512"/>
      <c r="J33" s="512"/>
      <c r="K33" s="512"/>
      <c r="L33" s="512"/>
      <c r="M33" s="87">
        <f>Home!C56</f>
        <v>0</v>
      </c>
    </row>
    <row r="34" spans="1:13" ht="15.75" customHeight="1">
      <c r="A34" s="560"/>
      <c r="B34" s="522" t="s">
        <v>245</v>
      </c>
      <c r="C34" s="523"/>
      <c r="D34" s="523"/>
      <c r="E34" s="523"/>
      <c r="F34" s="523"/>
      <c r="G34" s="523"/>
      <c r="H34" s="523"/>
      <c r="I34" s="523"/>
      <c r="J34" s="523"/>
      <c r="K34" s="523"/>
      <c r="L34" s="524"/>
      <c r="M34" s="87">
        <f>Home!C57</f>
        <v>0</v>
      </c>
    </row>
    <row r="35" spans="1:13" ht="15.75">
      <c r="A35" s="560"/>
      <c r="B35" s="512" t="s">
        <v>246</v>
      </c>
      <c r="C35" s="512"/>
      <c r="D35" s="512"/>
      <c r="E35" s="512"/>
      <c r="F35" s="512"/>
      <c r="G35" s="512"/>
      <c r="H35" s="512"/>
      <c r="I35" s="512"/>
      <c r="J35" s="512"/>
      <c r="K35" s="512"/>
      <c r="L35" s="512"/>
      <c r="M35" s="87">
        <f>Home!D58</f>
        <v>0</v>
      </c>
    </row>
    <row r="36" spans="1:13" ht="14.25" customHeight="1">
      <c r="A36" s="560"/>
      <c r="B36" s="522" t="s">
        <v>304</v>
      </c>
      <c r="C36" s="523"/>
      <c r="D36" s="523"/>
      <c r="E36" s="523"/>
      <c r="F36" s="523"/>
      <c r="G36" s="523"/>
      <c r="H36" s="523"/>
      <c r="I36" s="523"/>
      <c r="J36" s="523"/>
      <c r="K36" s="523"/>
      <c r="L36" s="524"/>
      <c r="M36" s="87">
        <f>Home!C60</f>
        <v>0</v>
      </c>
    </row>
    <row r="37" spans="1:13" ht="15.75">
      <c r="A37" s="560"/>
      <c r="B37" s="522" t="s">
        <v>247</v>
      </c>
      <c r="C37" s="523"/>
      <c r="D37" s="523"/>
      <c r="E37" s="523"/>
      <c r="F37" s="523"/>
      <c r="G37" s="523"/>
      <c r="H37" s="523"/>
      <c r="I37" s="523"/>
      <c r="J37" s="523"/>
      <c r="K37" s="523"/>
      <c r="L37" s="524"/>
      <c r="M37" s="87">
        <f>Home!D29</f>
        <v>0</v>
      </c>
    </row>
    <row r="38" spans="1:13" ht="15" customHeight="1">
      <c r="A38" s="560"/>
      <c r="B38" s="543" t="s">
        <v>215</v>
      </c>
      <c r="C38" s="543"/>
      <c r="D38" s="543"/>
      <c r="E38" s="543"/>
      <c r="F38" s="543"/>
      <c r="G38" s="543"/>
      <c r="H38" s="543"/>
      <c r="I38" s="543"/>
      <c r="J38" s="543"/>
      <c r="K38" s="543"/>
      <c r="L38" s="543"/>
      <c r="M38" s="243">
        <f>SUM(M31:M37)</f>
        <v>0</v>
      </c>
    </row>
    <row r="39" spans="1:13" ht="15.75">
      <c r="A39" s="112">
        <v>12</v>
      </c>
      <c r="B39" s="512" t="s">
        <v>248</v>
      </c>
      <c r="C39" s="512"/>
      <c r="D39" s="512"/>
      <c r="E39" s="512"/>
      <c r="F39" s="512"/>
      <c r="G39" s="512"/>
      <c r="H39" s="512"/>
      <c r="I39" s="512"/>
      <c r="J39" s="512"/>
      <c r="K39" s="512"/>
      <c r="L39" s="512"/>
      <c r="M39" s="87">
        <f>M29+M38</f>
        <v>136608</v>
      </c>
    </row>
    <row r="40" spans="1:13" ht="15.75">
      <c r="A40" s="112">
        <v>13</v>
      </c>
      <c r="B40" s="512" t="s">
        <v>249</v>
      </c>
      <c r="C40" s="512"/>
      <c r="D40" s="512"/>
      <c r="E40" s="512"/>
      <c r="F40" s="512"/>
      <c r="G40" s="512"/>
      <c r="H40" s="512"/>
      <c r="I40" s="512"/>
      <c r="J40" s="512"/>
      <c r="K40" s="512"/>
      <c r="L40" s="512"/>
      <c r="M40" s="87">
        <f>(M15-M39)</f>
        <v>459654</v>
      </c>
    </row>
    <row r="41" spans="1:13" ht="15.75">
      <c r="A41" s="112">
        <v>14</v>
      </c>
      <c r="B41" s="512" t="s">
        <v>250</v>
      </c>
      <c r="C41" s="512"/>
      <c r="D41" s="512"/>
      <c r="E41" s="512"/>
      <c r="F41" s="512"/>
      <c r="G41" s="512"/>
      <c r="H41" s="512"/>
      <c r="I41" s="512"/>
      <c r="J41" s="512"/>
      <c r="K41" s="512"/>
      <c r="L41" s="512"/>
      <c r="M41" s="88">
        <f>ROUND(M40,-1)</f>
        <v>459650</v>
      </c>
    </row>
    <row r="42" spans="1:13" ht="15.75">
      <c r="A42" s="588">
        <v>15</v>
      </c>
      <c r="B42" s="522" t="s">
        <v>216</v>
      </c>
      <c r="C42" s="523"/>
      <c r="D42" s="523"/>
      <c r="E42" s="523"/>
      <c r="F42" s="523"/>
      <c r="G42" s="523"/>
      <c r="H42" s="523"/>
      <c r="I42" s="111"/>
      <c r="J42" s="111"/>
      <c r="K42" s="111"/>
      <c r="L42" s="111"/>
      <c r="M42" s="89">
        <f>ROUND(IF(M41&lt;=250000,0,IF(M41&lt;=500000,(M41-250000)*0.05,IF(M41&lt;=1000000,12500+(M41-500000)*0.2,IF(M41&gt;1000000,125000+(M41-1000000)*0.3,"0")))),0)</f>
        <v>10483</v>
      </c>
    </row>
    <row r="43" spans="1:13" ht="15.75">
      <c r="A43" s="589"/>
      <c r="B43" s="591" t="s">
        <v>475</v>
      </c>
      <c r="C43" s="592"/>
      <c r="D43" s="592"/>
      <c r="E43" s="592"/>
      <c r="F43" s="592"/>
      <c r="G43" s="592"/>
      <c r="H43" s="592"/>
      <c r="I43" s="592"/>
      <c r="J43" s="592"/>
      <c r="K43" s="592"/>
      <c r="L43" s="593"/>
      <c r="M43" s="90">
        <f>IF(M41&gt;350000,0,IF(M42&lt;2501,M42,2500))</f>
        <v>0</v>
      </c>
    </row>
    <row r="44" spans="1:13" ht="15.75">
      <c r="A44" s="589"/>
      <c r="B44" s="594" t="s">
        <v>193</v>
      </c>
      <c r="C44" s="595"/>
      <c r="D44" s="595"/>
      <c r="E44" s="595"/>
      <c r="F44" s="595"/>
      <c r="G44" s="595"/>
      <c r="H44" s="595"/>
      <c r="I44" s="595"/>
      <c r="J44" s="595"/>
      <c r="K44" s="595"/>
      <c r="L44" s="596"/>
      <c r="M44" s="90">
        <f>M42-M43</f>
        <v>10483</v>
      </c>
    </row>
    <row r="45" spans="1:13" ht="15.75">
      <c r="A45" s="589"/>
      <c r="B45" s="598" t="s">
        <v>191</v>
      </c>
      <c r="C45" s="598"/>
      <c r="D45" s="598"/>
      <c r="E45" s="598"/>
      <c r="F45" s="599">
        <f>ROUND((M44*0.02),0)</f>
        <v>210</v>
      </c>
      <c r="G45" s="599"/>
      <c r="H45" s="598" t="s">
        <v>190</v>
      </c>
      <c r="I45" s="598"/>
      <c r="J45" s="598"/>
      <c r="K45" s="598"/>
      <c r="L45" s="85">
        <f>ROUND((M44*0.01),0)</f>
        <v>105</v>
      </c>
      <c r="M45" s="98">
        <f>F45+L45</f>
        <v>315</v>
      </c>
    </row>
    <row r="46" spans="1:13" ht="15" customHeight="1">
      <c r="A46" s="590"/>
      <c r="B46" s="597" t="s">
        <v>183</v>
      </c>
      <c r="C46" s="597"/>
      <c r="D46" s="597"/>
      <c r="E46" s="597"/>
      <c r="F46" s="597"/>
      <c r="G46" s="597"/>
      <c r="H46" s="597"/>
      <c r="I46" s="597"/>
      <c r="J46" s="597"/>
      <c r="K46" s="597"/>
      <c r="L46" s="597"/>
      <c r="M46" s="91">
        <f>M44+M45</f>
        <v>10798</v>
      </c>
    </row>
    <row r="47" spans="1:13" ht="13.5" customHeight="1">
      <c r="A47" s="112">
        <v>16</v>
      </c>
      <c r="B47" s="600" t="s">
        <v>251</v>
      </c>
      <c r="C47" s="601"/>
      <c r="D47" s="601"/>
      <c r="E47" s="601"/>
      <c r="F47" s="601"/>
      <c r="G47" s="601"/>
      <c r="H47" s="601"/>
      <c r="I47" s="601"/>
      <c r="J47" s="601"/>
      <c r="K47" s="601"/>
      <c r="L47" s="602"/>
      <c r="M47" s="90">
        <f>Home!C61</f>
        <v>0</v>
      </c>
    </row>
    <row r="48" spans="1:13" ht="15.75">
      <c r="A48" s="112">
        <v>17</v>
      </c>
      <c r="B48" s="574" t="s">
        <v>192</v>
      </c>
      <c r="C48" s="574"/>
      <c r="D48" s="574"/>
      <c r="E48" s="574"/>
      <c r="F48" s="574"/>
      <c r="G48" s="574"/>
      <c r="H48" s="574"/>
      <c r="I48" s="574"/>
      <c r="J48" s="574"/>
      <c r="K48" s="574"/>
      <c r="L48" s="574"/>
      <c r="M48" s="91">
        <f>M46-M47</f>
        <v>10798</v>
      </c>
    </row>
    <row r="49" spans="1:13" ht="15" customHeight="1">
      <c r="A49" s="603">
        <v>18</v>
      </c>
      <c r="B49" s="605" t="s">
        <v>184</v>
      </c>
      <c r="C49" s="605"/>
      <c r="D49" s="606"/>
      <c r="E49" s="609" t="s">
        <v>588</v>
      </c>
      <c r="F49" s="609"/>
      <c r="G49" s="609" t="s">
        <v>585</v>
      </c>
      <c r="H49" s="609"/>
      <c r="I49" s="233" t="s">
        <v>586</v>
      </c>
      <c r="J49" s="234" t="s">
        <v>587</v>
      </c>
      <c r="K49" s="610" t="s">
        <v>337</v>
      </c>
      <c r="L49" s="611"/>
      <c r="M49" s="92"/>
    </row>
    <row r="50" spans="1:13" ht="15.75">
      <c r="A50" s="604"/>
      <c r="B50" s="607"/>
      <c r="C50" s="607"/>
      <c r="D50" s="608"/>
      <c r="E50" s="572">
        <f>SUM('G.A. 55'!R8:R14)</f>
        <v>0</v>
      </c>
      <c r="F50" s="573"/>
      <c r="G50" s="572">
        <f>SUM('G.A. 55'!R15:R17)+E50</f>
        <v>0</v>
      </c>
      <c r="H50" s="573"/>
      <c r="I50" s="232">
        <f>'G.A. 55'!R18</f>
        <v>0</v>
      </c>
      <c r="J50" s="232">
        <f>'G.A. 55'!R19</f>
        <v>0</v>
      </c>
      <c r="K50" s="570">
        <f>SUM('G.A. 55'!R20:R25)</f>
        <v>0</v>
      </c>
      <c r="L50" s="571"/>
      <c r="M50" s="93">
        <f>'G.A. 55'!R26</f>
        <v>0</v>
      </c>
    </row>
    <row r="51" spans="1:13" ht="16.5" thickBot="1">
      <c r="A51" s="579" t="str">
        <f>IF(M48&gt;M50,"Income Tax Payable",IF(M48&lt;M50,"Income Tax Refundable","Income Tax Payble/Refundable"))</f>
        <v>Income Tax Payable</v>
      </c>
      <c r="B51" s="580"/>
      <c r="C51" s="580"/>
      <c r="D51" s="580"/>
      <c r="E51" s="580"/>
      <c r="F51" s="580"/>
      <c r="G51" s="580"/>
      <c r="H51" s="580"/>
      <c r="I51" s="580"/>
      <c r="J51" s="580"/>
      <c r="K51" s="580"/>
      <c r="L51" s="580"/>
      <c r="M51" s="94">
        <f>IF(M48&gt;M50,M48-M50,M50-M48)</f>
        <v>10798</v>
      </c>
    </row>
    <row r="52" spans="1:13" ht="15" customHeight="1">
      <c r="A52" s="45"/>
      <c r="B52" s="576"/>
      <c r="C52" s="576"/>
      <c r="D52" s="576"/>
      <c r="E52" s="577"/>
      <c r="F52" s="577"/>
      <c r="G52" s="45"/>
      <c r="H52" s="45"/>
      <c r="I52" s="45"/>
      <c r="J52" s="45"/>
      <c r="K52" s="45"/>
      <c r="L52" s="45"/>
      <c r="M52" s="95"/>
    </row>
    <row r="53" spans="1:13" ht="16.5">
      <c r="A53" s="46"/>
      <c r="B53" s="578"/>
      <c r="C53" s="578"/>
      <c r="D53" s="578"/>
      <c r="E53" s="578"/>
      <c r="F53" s="578"/>
      <c r="G53" s="47"/>
      <c r="H53" s="47"/>
      <c r="I53" s="47"/>
      <c r="J53" s="47"/>
      <c r="K53" s="47"/>
      <c r="L53" s="581" t="s">
        <v>185</v>
      </c>
      <c r="M53" s="581"/>
    </row>
    <row r="54" spans="1:13" ht="22.5" customHeight="1">
      <c r="A54" s="48"/>
    </row>
    <row r="55" spans="1:13" ht="25.5" customHeight="1" thickBot="1">
      <c r="A55" s="46"/>
    </row>
    <row r="56" spans="1:13" ht="24" customHeight="1" thickTop="1">
      <c r="A56" s="46"/>
      <c r="B56" s="582" t="s">
        <v>257</v>
      </c>
      <c r="C56" s="583"/>
      <c r="D56" s="583"/>
      <c r="E56" s="583"/>
      <c r="F56" s="583"/>
      <c r="G56" s="583"/>
      <c r="H56" s="583"/>
      <c r="I56" s="583"/>
      <c r="J56" s="583"/>
      <c r="K56" s="583"/>
      <c r="L56" s="583"/>
      <c r="M56" s="584"/>
    </row>
    <row r="57" spans="1:13" ht="17.25" customHeight="1">
      <c r="A57" s="46"/>
      <c r="B57" s="585" t="s">
        <v>574</v>
      </c>
      <c r="C57" s="586"/>
      <c r="D57" s="586"/>
      <c r="E57" s="586"/>
      <c r="F57" s="586"/>
      <c r="G57" s="586"/>
      <c r="H57" s="586"/>
      <c r="I57" s="586"/>
      <c r="J57" s="586"/>
      <c r="K57" s="586"/>
      <c r="L57" s="586"/>
      <c r="M57" s="587"/>
    </row>
    <row r="58" spans="1:13" ht="21" customHeight="1">
      <c r="A58" s="46"/>
      <c r="B58" s="511" t="s">
        <v>310</v>
      </c>
      <c r="C58" s="511"/>
      <c r="D58" s="511"/>
      <c r="E58" s="511"/>
      <c r="F58" s="511"/>
      <c r="G58" s="511"/>
      <c r="H58" s="511"/>
      <c r="I58" s="195"/>
      <c r="J58" s="509" t="s">
        <v>309</v>
      </c>
      <c r="K58" s="510"/>
      <c r="L58" s="510"/>
      <c r="M58" s="510"/>
    </row>
    <row r="59" spans="1:13" ht="16.5" customHeight="1">
      <c r="A59" s="48"/>
      <c r="B59" s="118"/>
      <c r="C59" s="118"/>
      <c r="D59" s="118"/>
      <c r="E59" s="118"/>
      <c r="F59" s="118"/>
      <c r="G59" s="47"/>
      <c r="H59" s="47"/>
      <c r="I59" s="47"/>
      <c r="J59" s="117"/>
      <c r="K59" s="117"/>
      <c r="L59" s="117"/>
      <c r="M59" s="117"/>
    </row>
    <row r="60" spans="1:13" ht="15.75">
      <c r="A60" s="48"/>
      <c r="B60" s="116"/>
      <c r="C60" s="116"/>
      <c r="D60" s="116"/>
      <c r="E60" s="116"/>
      <c r="F60" s="116"/>
      <c r="G60" s="49"/>
      <c r="H60" s="49"/>
      <c r="I60" s="49"/>
      <c r="J60" s="49"/>
      <c r="K60" s="49"/>
      <c r="L60" s="49"/>
      <c r="M60" s="97"/>
    </row>
    <row r="61" spans="1:13" ht="15.75">
      <c r="A61" s="48"/>
      <c r="B61" s="49"/>
      <c r="C61" s="49"/>
      <c r="D61" s="49"/>
      <c r="E61" s="49"/>
      <c r="F61" s="49"/>
      <c r="G61" s="49"/>
      <c r="H61" s="49"/>
      <c r="I61" s="49"/>
      <c r="J61" s="49"/>
      <c r="K61" s="49"/>
      <c r="L61" s="49"/>
      <c r="M61" s="97"/>
    </row>
    <row r="62" spans="1:13"/>
    <row r="63" spans="1:13"/>
    <row r="64" spans="1:13"/>
    <row r="65"/>
    <row r="66"/>
    <row r="67"/>
    <row r="68"/>
    <row r="69"/>
    <row r="70"/>
    <row r="71"/>
    <row r="72"/>
    <row r="73"/>
    <row r="74"/>
    <row r="75"/>
    <row r="76"/>
    <row r="77"/>
    <row r="78"/>
    <row r="79"/>
    <row r="80"/>
    <row r="81"/>
    <row r="82"/>
    <row r="83"/>
    <row r="84"/>
    <row r="85"/>
    <row r="86"/>
    <row r="87"/>
    <row r="88"/>
    <row r="89"/>
    <row r="90"/>
    <row r="91"/>
  </sheetData>
  <sheetProtection password="C619" sheet="1" objects="1" scenarios="1" formatColumns="0" formatRows="0" insertColumns="0" insertRows="0" selectLockedCells="1"/>
  <mergeCells count="107">
    <mergeCell ref="B52:D52"/>
    <mergeCell ref="E52:F52"/>
    <mergeCell ref="B53:D53"/>
    <mergeCell ref="E53:F53"/>
    <mergeCell ref="A51:L51"/>
    <mergeCell ref="L53:M53"/>
    <mergeCell ref="B56:M56"/>
    <mergeCell ref="B57:M57"/>
    <mergeCell ref="A42:A46"/>
    <mergeCell ref="B43:L43"/>
    <mergeCell ref="B44:L44"/>
    <mergeCell ref="B46:L46"/>
    <mergeCell ref="H45:K45"/>
    <mergeCell ref="B45:E45"/>
    <mergeCell ref="F45:G45"/>
    <mergeCell ref="B47:L47"/>
    <mergeCell ref="B48:L48"/>
    <mergeCell ref="B42:H42"/>
    <mergeCell ref="A49:A50"/>
    <mergeCell ref="B49:D50"/>
    <mergeCell ref="E49:F49"/>
    <mergeCell ref="G49:H49"/>
    <mergeCell ref="G50:H50"/>
    <mergeCell ref="K49:L49"/>
    <mergeCell ref="K50:L50"/>
    <mergeCell ref="E50:F50"/>
    <mergeCell ref="B29:H29"/>
    <mergeCell ref="A30:A38"/>
    <mergeCell ref="B30:M30"/>
    <mergeCell ref="B31:L31"/>
    <mergeCell ref="B32:L32"/>
    <mergeCell ref="B33:L33"/>
    <mergeCell ref="B34:L34"/>
    <mergeCell ref="B35:L35"/>
    <mergeCell ref="B36:L36"/>
    <mergeCell ref="B37:L37"/>
    <mergeCell ref="B38:L38"/>
    <mergeCell ref="A12:A14"/>
    <mergeCell ref="B12:L12"/>
    <mergeCell ref="B15:L15"/>
    <mergeCell ref="B16:M16"/>
    <mergeCell ref="B17:M17"/>
    <mergeCell ref="C18:F18"/>
    <mergeCell ref="I18:K18"/>
    <mergeCell ref="C19:F19"/>
    <mergeCell ref="A16:A29"/>
    <mergeCell ref="C21:F21"/>
    <mergeCell ref="M18:M25"/>
    <mergeCell ref="M27:M28"/>
    <mergeCell ref="B13:D13"/>
    <mergeCell ref="E13:F13"/>
    <mergeCell ref="G13:H13"/>
    <mergeCell ref="I13:J13"/>
    <mergeCell ref="K13:L13"/>
    <mergeCell ref="B14:D14"/>
    <mergeCell ref="E14:F14"/>
    <mergeCell ref="G14:H14"/>
    <mergeCell ref="I14:J14"/>
    <mergeCell ref="K14:L14"/>
    <mergeCell ref="C20:F20"/>
    <mergeCell ref="I20:K20"/>
    <mergeCell ref="A1:M1"/>
    <mergeCell ref="A2:M2"/>
    <mergeCell ref="J3:K3"/>
    <mergeCell ref="B10:C11"/>
    <mergeCell ref="D10:F10"/>
    <mergeCell ref="I10:J10"/>
    <mergeCell ref="B5:L5"/>
    <mergeCell ref="B6:L6"/>
    <mergeCell ref="B7:J7"/>
    <mergeCell ref="K7:L7"/>
    <mergeCell ref="K10:L10"/>
    <mergeCell ref="D11:F11"/>
    <mergeCell ref="I11:J11"/>
    <mergeCell ref="K11:L11"/>
    <mergeCell ref="B4:I4"/>
    <mergeCell ref="B8:L8"/>
    <mergeCell ref="J4:L4"/>
    <mergeCell ref="A9:A11"/>
    <mergeCell ref="B9:H9"/>
    <mergeCell ref="I9:J9"/>
    <mergeCell ref="K9:L9"/>
    <mergeCell ref="E3:H3"/>
    <mergeCell ref="J58:M58"/>
    <mergeCell ref="B58:H58"/>
    <mergeCell ref="C23:F23"/>
    <mergeCell ref="K29:L29"/>
    <mergeCell ref="B3:D3"/>
    <mergeCell ref="G10:H10"/>
    <mergeCell ref="G11:H11"/>
    <mergeCell ref="I23:K23"/>
    <mergeCell ref="C24:F24"/>
    <mergeCell ref="I24:K24"/>
    <mergeCell ref="C25:F25"/>
    <mergeCell ref="I25:K25"/>
    <mergeCell ref="I21:K21"/>
    <mergeCell ref="C22:F22"/>
    <mergeCell ref="I22:K22"/>
    <mergeCell ref="B27:K27"/>
    <mergeCell ref="B28:K28"/>
    <mergeCell ref="I19:K19"/>
    <mergeCell ref="B39:L39"/>
    <mergeCell ref="C26:F26"/>
    <mergeCell ref="H26:K26"/>
    <mergeCell ref="B40:L40"/>
    <mergeCell ref="B41:L41"/>
    <mergeCell ref="I29:J29"/>
  </mergeCells>
  <hyperlinks>
    <hyperlink ref="B58" r:id="rId1" display="vijaysalasar2011@gmail.com"/>
    <hyperlink ref="J58" r:id="rId2"/>
  </hyperlinks>
  <printOptions horizontalCentered="1"/>
  <pageMargins left="0.118110236220472" right="0.118110236220472" top="0.196850393700787" bottom="0.196850393700787" header="0" footer="0"/>
  <pageSetup paperSize="9" orientation="portrait" horizontalDpi="300" verticalDpi="3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60"/>
  </sheetPr>
  <dimension ref="A1:V71"/>
  <sheetViews>
    <sheetView showGridLines="0" topLeftCell="B1" workbookViewId="0">
      <selection activeCell="C15" sqref="C15"/>
    </sheetView>
  </sheetViews>
  <sheetFormatPr defaultColWidth="9.140625" defaultRowHeight="15"/>
  <cols>
    <col min="1" max="1" width="4.7109375" style="277" hidden="1" customWidth="1"/>
    <col min="2" max="2" width="18.140625" style="277" customWidth="1"/>
    <col min="3" max="3" width="9.85546875" style="277" customWidth="1"/>
    <col min="4" max="4" width="11" style="277" hidden="1" customWidth="1"/>
    <col min="5" max="5" width="7.7109375" style="277" hidden="1" customWidth="1"/>
    <col min="6" max="6" width="6.140625" style="277" customWidth="1"/>
    <col min="7" max="7" width="13.28515625" style="277" customWidth="1"/>
    <col min="8" max="8" width="22.42578125" style="277" customWidth="1"/>
    <col min="9" max="9" width="20" style="277" customWidth="1"/>
    <col min="10" max="10" width="18.140625" style="277" customWidth="1"/>
    <col min="11" max="11" width="8.5703125" style="277" customWidth="1"/>
    <col min="12" max="12" width="0" style="277" hidden="1" customWidth="1"/>
    <col min="13" max="13" width="4.28515625" style="277" customWidth="1"/>
    <col min="14" max="14" width="10.7109375" style="277" bestFit="1" customWidth="1"/>
    <col min="15" max="18" width="9.140625" style="277"/>
    <col min="19" max="19" width="7.85546875" style="277" customWidth="1"/>
    <col min="20" max="20" width="6.42578125" style="277" customWidth="1"/>
    <col min="21" max="21" width="7.7109375" style="277" customWidth="1"/>
    <col min="22" max="22" width="10.85546875" style="277" customWidth="1"/>
    <col min="23" max="16384" width="9.140625" style="277"/>
  </cols>
  <sheetData>
    <row r="1" spans="2:22" ht="26.25">
      <c r="B1" s="626" t="s">
        <v>327</v>
      </c>
      <c r="C1" s="626"/>
      <c r="D1" s="626"/>
      <c r="E1" s="626"/>
      <c r="F1" s="626"/>
      <c r="G1" s="626"/>
      <c r="H1" s="626"/>
      <c r="I1" s="626"/>
      <c r="J1" s="626"/>
      <c r="K1" s="626"/>
    </row>
    <row r="2" spans="2:22" ht="19.5" thickBot="1">
      <c r="B2" s="627" t="s">
        <v>328</v>
      </c>
      <c r="C2" s="627"/>
      <c r="D2" s="627"/>
      <c r="E2" s="627"/>
      <c r="F2" s="627"/>
      <c r="G2" s="627"/>
      <c r="H2" s="627"/>
      <c r="I2" s="627"/>
      <c r="J2" s="627"/>
      <c r="K2" s="627"/>
    </row>
    <row r="3" spans="2:22" ht="26.25" customHeight="1">
      <c r="B3" s="616" t="s">
        <v>517</v>
      </c>
      <c r="C3" s="617"/>
      <c r="D3" s="617"/>
      <c r="E3" s="617"/>
      <c r="F3" s="617"/>
      <c r="G3" s="617"/>
      <c r="H3" s="617"/>
      <c r="I3" s="617"/>
      <c r="J3" s="617"/>
      <c r="K3" s="618"/>
    </row>
    <row r="4" spans="2:22" ht="22.5" customHeight="1">
      <c r="B4" s="278" t="s">
        <v>518</v>
      </c>
      <c r="C4" s="279" t="s">
        <v>519</v>
      </c>
      <c r="D4" s="280" t="s">
        <v>520</v>
      </c>
      <c r="E4" s="280" t="s">
        <v>156</v>
      </c>
      <c r="F4" s="280"/>
      <c r="G4" s="619" t="s">
        <v>521</v>
      </c>
      <c r="H4" s="619"/>
      <c r="I4" s="619"/>
      <c r="J4" s="619"/>
      <c r="K4" s="281"/>
      <c r="M4" s="629" t="s">
        <v>322</v>
      </c>
      <c r="N4" s="630"/>
      <c r="O4" s="630"/>
      <c r="P4" s="630"/>
      <c r="Q4" s="630"/>
      <c r="R4" s="630"/>
      <c r="S4" s="630"/>
      <c r="T4" s="630"/>
      <c r="U4" s="630"/>
      <c r="V4" s="631"/>
    </row>
    <row r="5" spans="2:22" ht="21.95" customHeight="1">
      <c r="B5" s="282" t="s">
        <v>589</v>
      </c>
      <c r="C5" s="283" t="s">
        <v>527</v>
      </c>
      <c r="D5" s="280">
        <f>IF(C5="Y",'G.A. 55'!C8+ROUND((136%*'G.A. 55'!C8),0),"0")</f>
        <v>42244</v>
      </c>
      <c r="E5" s="280">
        <f>IF(C5="Y",'G.A. 55'!E8,"0")</f>
        <v>1790</v>
      </c>
      <c r="F5" s="280"/>
      <c r="G5" s="619"/>
      <c r="H5" s="619"/>
      <c r="I5" s="619"/>
      <c r="J5" s="619"/>
      <c r="K5" s="281"/>
      <c r="M5" s="214"/>
      <c r="N5" s="215"/>
      <c r="O5" s="215"/>
      <c r="P5" s="215"/>
      <c r="Q5" s="215"/>
      <c r="R5" s="215"/>
      <c r="S5" s="215"/>
      <c r="T5" s="215"/>
      <c r="U5" s="215"/>
      <c r="V5" s="216"/>
    </row>
    <row r="6" spans="2:22" ht="21.95" customHeight="1">
      <c r="B6" s="282" t="s">
        <v>590</v>
      </c>
      <c r="C6" s="283" t="s">
        <v>527</v>
      </c>
      <c r="D6" s="280">
        <f>IF(C6="Y",'G.A. 55'!C9+ROUND((136%*'G.A. 55'!C9),0),"0")</f>
        <v>42244</v>
      </c>
      <c r="E6" s="280">
        <f>IF(C6="Y",'G.A. 55'!E9,"0")</f>
        <v>1790</v>
      </c>
      <c r="F6" s="280"/>
      <c r="G6" s="620" t="s">
        <v>522</v>
      </c>
      <c r="H6" s="620"/>
      <c r="I6" s="620"/>
      <c r="J6" s="620"/>
      <c r="K6" s="281"/>
      <c r="M6" s="632" t="s">
        <v>323</v>
      </c>
      <c r="N6" s="633"/>
      <c r="O6" s="633"/>
      <c r="P6" s="633"/>
      <c r="Q6" s="633"/>
      <c r="R6" s="633"/>
      <c r="S6" s="633"/>
      <c r="T6" s="633"/>
      <c r="U6" s="633"/>
      <c r="V6" s="634"/>
    </row>
    <row r="7" spans="2:22" ht="21.95" customHeight="1">
      <c r="B7" s="282" t="s">
        <v>591</v>
      </c>
      <c r="C7" s="283" t="s">
        <v>527</v>
      </c>
      <c r="D7" s="280">
        <f>IF(C7="Y",'G.A. 55'!C10+ROUND((136%*'G.A. 55'!C10),0),"0")</f>
        <v>42244</v>
      </c>
      <c r="E7" s="280">
        <f>IF(C7="Y",'G.A. 55'!E10,"0")</f>
        <v>1790</v>
      </c>
      <c r="F7" s="280"/>
      <c r="G7" s="620"/>
      <c r="H7" s="620"/>
      <c r="I7" s="620"/>
      <c r="J7" s="620"/>
      <c r="K7" s="281"/>
      <c r="M7" s="214"/>
      <c r="N7" s="215"/>
      <c r="O7" s="215"/>
      <c r="P7" s="215"/>
      <c r="Q7" s="215"/>
      <c r="R7" s="215"/>
      <c r="S7" s="215"/>
      <c r="T7" s="215"/>
      <c r="U7" s="215"/>
      <c r="V7" s="216"/>
    </row>
    <row r="8" spans="2:22" ht="21.95" customHeight="1">
      <c r="B8" s="282" t="s">
        <v>592</v>
      </c>
      <c r="C8" s="283" t="s">
        <v>527</v>
      </c>
      <c r="D8" s="280">
        <f>IF(C8="Y",'G.A. 55'!C11+ROUND((136%*'G.A. 55'!C11),0),"0")</f>
        <v>42244</v>
      </c>
      <c r="E8" s="280">
        <f>IF(C8="Y",'G.A. 55'!E11,"0")</f>
        <v>1790</v>
      </c>
      <c r="F8" s="280"/>
      <c r="G8" s="280"/>
      <c r="H8" s="280"/>
      <c r="I8" s="280"/>
      <c r="J8" s="280"/>
      <c r="K8" s="281"/>
      <c r="M8" s="214"/>
      <c r="N8" s="215"/>
      <c r="O8" s="215"/>
      <c r="P8" s="215"/>
      <c r="Q8" s="215"/>
      <c r="R8" s="215"/>
      <c r="S8" s="215"/>
      <c r="T8" s="215"/>
      <c r="U8" s="215" t="s">
        <v>324</v>
      </c>
      <c r="V8" s="217">
        <f ca="1">TODAY()</f>
        <v>43031</v>
      </c>
    </row>
    <row r="9" spans="2:22" ht="21.95" customHeight="1">
      <c r="B9" s="282" t="s">
        <v>593</v>
      </c>
      <c r="C9" s="283" t="s">
        <v>527</v>
      </c>
      <c r="D9" s="280">
        <f>IF(C9="Y",'G.A. 55'!C12+ROUND((139%*'G.A. 55'!C12),0),"0")</f>
        <v>44072</v>
      </c>
      <c r="E9" s="280">
        <f>IF(C9="Y",'G.A. 55'!E12,"0")</f>
        <v>1844</v>
      </c>
      <c r="F9" s="280"/>
      <c r="G9" s="621" t="s">
        <v>528</v>
      </c>
      <c r="H9" s="621"/>
      <c r="I9" s="621"/>
      <c r="J9" s="968">
        <f>Home!C20</f>
        <v>5000</v>
      </c>
      <c r="K9" s="281"/>
      <c r="M9" s="214"/>
      <c r="N9" s="215"/>
      <c r="O9" s="215"/>
      <c r="P9" s="215"/>
      <c r="Q9" s="215"/>
      <c r="R9" s="215"/>
      <c r="S9" s="215"/>
      <c r="T9" s="215"/>
      <c r="U9" s="215"/>
      <c r="V9" s="216"/>
    </row>
    <row r="10" spans="2:22" ht="21.95" customHeight="1">
      <c r="B10" s="282" t="s">
        <v>594</v>
      </c>
      <c r="C10" s="283" t="s">
        <v>527</v>
      </c>
      <c r="D10" s="280">
        <f>IF(C10="Y",'G.A. 55'!C13+ROUND((139%*'G.A. 55'!C13),0),"0")</f>
        <v>44072</v>
      </c>
      <c r="E10" s="280">
        <f>IF(C10="Y",'G.A. 55'!E13,"0")</f>
        <v>1844</v>
      </c>
      <c r="F10" s="280"/>
      <c r="G10" s="622" t="s">
        <v>523</v>
      </c>
      <c r="H10" s="622"/>
      <c r="I10" s="622"/>
      <c r="J10" s="140">
        <f>IF((J9*12)&gt;D17*10%, MIN(ROUND(J9*12-(D17)*10%,0),J13),0)</f>
        <v>7845</v>
      </c>
      <c r="K10" s="281"/>
      <c r="M10" s="218"/>
      <c r="N10" s="219" t="str">
        <f>CONCATENATE(" I Owner     ", UPPER(Home!C21))</f>
        <v xml:space="preserve"> I Owner     </v>
      </c>
      <c r="O10" s="219"/>
      <c r="P10" s="219"/>
      <c r="Q10" s="219"/>
      <c r="R10" s="219"/>
      <c r="S10" s="219"/>
      <c r="T10" s="219"/>
      <c r="U10" s="219"/>
      <c r="V10" s="220"/>
    </row>
    <row r="11" spans="2:22" ht="21.95" customHeight="1">
      <c r="B11" s="282" t="s">
        <v>595</v>
      </c>
      <c r="C11" s="283" t="s">
        <v>527</v>
      </c>
      <c r="D11" s="280">
        <f>IF(C11="Y",'G.A. 55'!C14+ROUND((139%*'G.A. 55'!C14),0),"0")</f>
        <v>44072</v>
      </c>
      <c r="E11" s="280">
        <f>IF(C11="Y",'G.A. 55'!E14,"0")</f>
        <v>1844</v>
      </c>
      <c r="F11" s="280"/>
      <c r="G11" s="280"/>
      <c r="H11" s="280"/>
      <c r="I11" s="280"/>
      <c r="J11" s="280"/>
      <c r="K11" s="281"/>
      <c r="M11" s="218"/>
      <c r="N11" s="219"/>
      <c r="O11" s="227" t="str">
        <f>"           Received with Thanks from    "&amp;Home!C8&amp;""</f>
        <v xml:space="preserve">           Received with Thanks from    vijay ranwa</v>
      </c>
      <c r="P11" s="221"/>
      <c r="Q11" s="221"/>
      <c r="R11" s="221"/>
      <c r="S11" s="221"/>
      <c r="T11" s="221"/>
      <c r="U11" s="221"/>
      <c r="V11" s="222"/>
    </row>
    <row r="12" spans="2:22" ht="21.95" customHeight="1" thickBot="1">
      <c r="B12" s="282" t="s">
        <v>596</v>
      </c>
      <c r="C12" s="283" t="s">
        <v>527</v>
      </c>
      <c r="D12" s="280">
        <f>IF(C12="Y",'G.A. 55'!C15+ROUND((139%*'G.A. 55'!C15),0),"0")</f>
        <v>44072</v>
      </c>
      <c r="E12" s="280">
        <f>IF(C12="Y",'G.A. 55'!E15,"0")</f>
        <v>1844</v>
      </c>
      <c r="F12" s="280"/>
      <c r="G12" s="280"/>
      <c r="H12" s="280"/>
      <c r="I12" s="280"/>
      <c r="J12" s="280"/>
      <c r="K12" s="281"/>
      <c r="M12" s="218"/>
      <c r="N12" s="219" t="str">
        <f>"Address   :-  "&amp;Home!C11</f>
        <v>Address   :-  HEADMASTER, GOVT SECONDARY SCHOOL DHANERU (BIKANER)</v>
      </c>
      <c r="O12" s="219"/>
      <c r="P12" s="219"/>
      <c r="Q12" s="219"/>
      <c r="R12" s="219"/>
      <c r="S12" s="219"/>
      <c r="T12" s="219"/>
      <c r="U12" s="219"/>
      <c r="V12" s="220"/>
    </row>
    <row r="13" spans="2:22" ht="21.95" customHeight="1">
      <c r="B13" s="282" t="s">
        <v>597</v>
      </c>
      <c r="C13" s="283" t="s">
        <v>527</v>
      </c>
      <c r="D13" s="280">
        <f>IF(C13="Y",'G.A. 55'!C16+ROUND((139%*'G.A. 55'!C16),0),"0")</f>
        <v>44072</v>
      </c>
      <c r="E13" s="280">
        <f>IF(C13="Y",'G.A. 55'!E16,"0")</f>
        <v>1844</v>
      </c>
      <c r="F13" s="280"/>
      <c r="G13" s="623" t="s">
        <v>524</v>
      </c>
      <c r="H13" s="624"/>
      <c r="I13" s="624"/>
      <c r="J13" s="284">
        <f>E17</f>
        <v>21912</v>
      </c>
      <c r="K13" s="281"/>
      <c r="M13" s="218"/>
      <c r="N13" s="219" t="s">
        <v>325</v>
      </c>
      <c r="O13" s="219"/>
      <c r="P13" s="625" t="str">
        <f>IF(OR(LEN(FLOOR(N27,1))=13,FLOOR(N27,1)&lt;=0),"Out of range",PROPER(SUBSTITUTE(CONCATENATE(CHOOSE(MID(TEXT(INT(N27),REPT(0,12)),1,1)+1,"","one hundred ","two hundred ","three hundred ","four hundred ","five hundred ","six hundred ","seven hundred ","eight hundred ","nine hundred "),CHOOSE(MID(TEXT(INT(N27),REPT(0,12)),2,1)+1,"",CHOOSE(MID(TEXT(INT(N27),REPT(0,12)),3,1)+1,"ten","eleven","twelve","thirteen","fourteen","fifteen","sixteen","seventeen","eighteen","nineteen"),"twenty","thirty","forty","fifty","sixty","seventy","eighty","ninety"),IF(VALUE(MID(TEXT(INT(N27),REPT(0,12)),2,1))&gt;1,CHOOSE(MID(TEXT(INT(N27),REPT(0,12)),3,1)+1,"","-one","-two","-three","-four","-five","-six","-seven","-eight","-nine"),IF(VALUE(MID(TEXT(INT(N27),REPT(0,12)),2,1))=0,CHOOSE(MID(TEXT(INT(N27),REPT(0,12)),3,1)+1,"","one","two","three","four","five","six","seven","eight","nine"),"")),IF(N27&gt;=10^9," billion ",""),CHOOSE(MID(TEXT(INT(N27),REPT(0,12)),4,1)+1,"","one hundred ","two hundred ","three hundred ","four hundred ","five hundred ","six hundred ","seven hundred ","eight hundred ","nine hundred "),CHOOSE(MID(TEXT(INT(N27),REPT(0,12)),5,1)+1,"",CHOOSE(MID(TEXT(INT(N27),REPT(0,12)),6,1)+1,"ten","eleven","twelve","thirteen","fourteen","fifteen","sixteen","seventeen","eighteen","nineteen"),"twenty","thirty","forty","fifty","sixty","seventy","eighty","ninety"),IF(VALUE(MID(TEXT(INT(N27),REPT(0,12)),5,1))&gt;1,CHOOSE(MID(TEXT(INT(N27),REPT(0,12)),6,1)+1,"","-one","-two","-three","-four","-five","-six","-seven","-eight","-nine"),IF(VALUE(MID(TEXT(INT(N27),REPT(0,12)),5,1))=0,CHOOSE(MID(TEXT(INT(N27),REPT(0,12)),6,1)+1,"","one","two","three","four","five","six","seven","eight","nine"),"")),IF(VALUE(MID(TEXT(INT(N27),REPT(0,12)),4,3))&gt;0," million ",""),CHOOSE(MID(TEXT(INT(N27),REPT(0,12)),7,1)+1,"","one hundred ","two hundred ","three hundred ","four hundred ","five hundred ","six hundred ","seven hundred ","eight hundred ","nine hundred "),CHOOSE(MID(TEXT(INT(N27),REPT(0,12)),8,1)+1,"",CHOOSE(MID(TEXT(INT(N27),REPT(0,12)),9,1)+1,"ten","eleven","twelve","thirteen","fourteen","fifteen","sixteen","seventeen","eighteen","nineteen"),"twenty","thirty","forty","fifty","sixty","seventy","eighty","ninety"),IF(VALUE(MID(TEXT(INT(N27),REPT(0,12)),8,1))&gt;1,CHOOSE(MID(TEXT(INT(N27),REPT(0,12)),9,1)+1,"","-one","-two","-three","-four","-five","-six","-seven","-eight","-nine"),IF(VALUE(MID(TEXT(INT(N27),REPT(0,12)),8,1))=0,CHOOSE(MID(TEXT(INT(N27),REPT(0,12)),9,1)+1,"","one","two","three","four","five","six","seven","eight","nine"),"")),IF(VALUE(MID(TEXT(INT(N27),REPT(0,12)),7,3))," thousand ",""),CHOOSE(MID(TEXT(INT(N27),REPT(0,12)),10,1)+1,"","one hundred ","two hundred ","three hundred ","four hundred ","five hundred ","six hundred ","seven hundred ","eight hundred ","nine hundred "),CHOOSE(MID(TEXT(INT(N27),REPT(0,12)),11,1)+1,"",CHOOSE(MID(TEXT(INT(N27),REPT(0,12)),12,1)+1,"ten","eleven","twelve","thirteen","fourteen","fifteen","sixteen","seventeen","eighteen","nineteen"),"twenty","thirty","forty","fifty","sixty","seventy","eighty","ninety"),IF(VALUE(MID(TEXT(INT(O19),REPT(0,12)),11,1))&gt;1,CHOOSE(MID(TEXT(INT(N27),REPT(0,12)),12,1)+1,"","-one","-two","-three","-four","-five","-six","-seven","-eight","-nine"),IF(VALUE(MID(TEXT(INT(N27),REPT(0,12)),11,1))=0,CHOOSE(MID(TEXT(INT(N27),REPT(0,12)),12,1)+1,"","one","two","three","four","five","six","seven","eight","nine"),""))),"  "," ")&amp;IF(FLOOR(N27,1)&gt;1," Rupees"," Rupees"))&amp;IF(ISERROR(FIND(".",N27,1)),""," and "&amp;PROPER(IF(LEN(LEFT(TRIM(MID(SUBSTITUTE($N$27,".",REPT(" ",255)),255,200)),2))=1,CHOOSE(1*LEFT(TRIM(MID(SUBSTITUTE($N$27,".",REPT(" ",255)),255,200)),2),"ten","twenty","thirty","forty","fifty","sixty","seventy","eighty","ninety")&amp;" Paise","")&amp;CONCATENATE(CHOOSE(MID(TEXT(INT(LEFT(TRIM(MID(SUBSTITUTE($N$27,".",REPT(" ",255)),255,200)),2)),REPT(0,12)),11,1)+1,"",CHOOSE(MID(TEXT(INT(LEFT(TRIM(MID(SUBSTITUTE($N$27,".",REPT(" ",255)),255,200)),2)),REPT(0,12)),12,1)+1,"ten","eleven","twelve","thirteen","fourteen","fifteen","sixteen","seventeen","eighteen","nineteen"),"twenty","thirty","forty","fifty","sixty","seventy","eighty","ninety"),IF(VALUE(MID(TEXT(INT(LEFT(TRIM(MID(SUBSTITUTE($N$27,".",REPT(" ",255)),255,200)),2)),REPT(0,12)),11,1))&gt;1,CHOOSE(MID(TEXT(INT(LEFT(TRIM(MID(SUBSTITUTE($N$27,".",REPT(" ",255)),255,200)),2)),REPT(0,12)),12,1)+1,"","-one","-two","-three","-four","-five","-six","-seven","-eight","-nine")&amp;" Paise",IF(LEFT(TRIM(MID(SUBSTITUTE($N$27,".",REPT(" ",255)),255,200)),2)="01","one Paise",IF(LEFT(TRIM(MID(SUBSTITUTE($N$27,".",REPT(" ",255)),255,200)),1)="0",CHOOSE(MID(TEXT(INT(LEFT(TRIM(MID(SUBSTITUTE($N$27,".",REPT(" ",255)),255,200)),2)),REPT(0,12)),12,1)+1,"","one","two","three","four","five","six","seven","eight","nine")&amp;" Paise","")))))))</f>
        <v>Sixty Thousand  Rupees</v>
      </c>
      <c r="Q13" s="625"/>
      <c r="R13" s="625"/>
      <c r="S13" s="625"/>
      <c r="T13" s="625"/>
      <c r="U13" s="625"/>
      <c r="V13" s="220"/>
    </row>
    <row r="14" spans="2:22" ht="21.95" customHeight="1" thickBot="1">
      <c r="B14" s="282" t="s">
        <v>598</v>
      </c>
      <c r="C14" s="283" t="s">
        <v>527</v>
      </c>
      <c r="D14" s="280">
        <f>IF(C14="Y",'G.A. 55'!C17+ROUND((139%*'G.A. 55'!C17),0),"0")</f>
        <v>44072</v>
      </c>
      <c r="E14" s="280">
        <f>IF(C14="Y",'G.A. 55'!E17,"0")</f>
        <v>1844</v>
      </c>
      <c r="F14" s="280"/>
      <c r="G14" s="612" t="s">
        <v>525</v>
      </c>
      <c r="H14" s="613"/>
      <c r="I14" s="613"/>
      <c r="J14" s="285">
        <f>ROUND(((10%*D17)+E17),0)</f>
        <v>74067</v>
      </c>
      <c r="K14" s="281">
        <f>ROUND(J14/C17, 0)</f>
        <v>6172</v>
      </c>
      <c r="M14" s="218"/>
      <c r="N14" s="219" t="str">
        <f>CONCATENATE("Towards the rent per Month  of  Rs. =   ",N26, "/-   From  April  2017   To   March 2018")</f>
        <v>Towards the rent per Month  of  Rs. =   5000/-   From  April  2017   To   March 2018</v>
      </c>
      <c r="O14" s="219"/>
      <c r="P14" s="219"/>
      <c r="Q14" s="219"/>
      <c r="R14" s="219"/>
      <c r="S14" s="219"/>
      <c r="T14" s="219"/>
      <c r="U14" s="219"/>
      <c r="V14" s="220"/>
    </row>
    <row r="15" spans="2:22" ht="21.95" customHeight="1">
      <c r="B15" s="282" t="s">
        <v>599</v>
      </c>
      <c r="C15" s="283" t="s">
        <v>527</v>
      </c>
      <c r="D15" s="280">
        <f>IF(C15="Y",'G.A. 55'!C18+ROUND((139%*'G.A. 55'!C18),0),"0")</f>
        <v>44072</v>
      </c>
      <c r="E15" s="280">
        <f>IF(C15="Y",'G.A. 55'!E18,"0")</f>
        <v>1844</v>
      </c>
      <c r="F15" s="280"/>
      <c r="G15" s="280"/>
      <c r="H15" s="280"/>
      <c r="I15" s="280"/>
      <c r="J15" s="280"/>
      <c r="K15" s="281"/>
      <c r="M15" s="218"/>
      <c r="N15" s="219" t="str">
        <f ca="1">CONCATENATE("Total Rs.    ",N26* 12, "/-     Balance Rs.  ",N26* O29, "/-          And  advance Rs.   ",N26*O30,"/-")</f>
        <v>Total Rs.    60000/-     Balance Rs.  35000/-          And  advance Rs.   25000/-</v>
      </c>
      <c r="O15" s="219"/>
      <c r="P15" s="219"/>
      <c r="Q15" s="219"/>
      <c r="R15" s="219"/>
      <c r="S15" s="219"/>
      <c r="T15" s="219"/>
      <c r="U15" s="219"/>
      <c r="V15" s="220"/>
    </row>
    <row r="16" spans="2:22" ht="21.95" customHeight="1" thickBot="1">
      <c r="B16" s="286" t="s">
        <v>600</v>
      </c>
      <c r="C16" s="283" t="s">
        <v>527</v>
      </c>
      <c r="D16" s="280">
        <f>IF(C16="Y",'G.A. 55'!C19+ROUND((139%*'G.A. 55'!C19),0),"0")</f>
        <v>44072</v>
      </c>
      <c r="E16" s="280">
        <f>IF(C16="Y",'G.A. 55'!E19,"0")</f>
        <v>1844</v>
      </c>
      <c r="F16" s="614" t="s">
        <v>526</v>
      </c>
      <c r="G16" s="614"/>
      <c r="H16" s="614"/>
      <c r="I16" s="614"/>
      <c r="J16" s="614"/>
      <c r="K16" s="615"/>
      <c r="M16" s="218"/>
      <c r="N16" s="219"/>
      <c r="O16" s="219"/>
      <c r="P16" s="219"/>
      <c r="Q16" s="219"/>
      <c r="R16" s="219"/>
      <c r="S16" s="219"/>
      <c r="T16" s="219"/>
      <c r="U16" s="219"/>
      <c r="V16" s="220"/>
    </row>
    <row r="17" spans="3:22" ht="21.95" customHeight="1">
      <c r="C17" s="277">
        <f>COUNTIF(C5:C16, "Y")</f>
        <v>12</v>
      </c>
      <c r="D17" s="277">
        <f>ROUND((SUM(D5:D16)),0)</f>
        <v>521552</v>
      </c>
      <c r="E17" s="277">
        <f>ROUND((SUM(E5:E16)),0)</f>
        <v>21912</v>
      </c>
      <c r="M17" s="635" t="str">
        <f>CONCATENATE("Rs.  =  ",N27, "/-")</f>
        <v>Rs.  =  60000/-</v>
      </c>
      <c r="N17" s="625"/>
      <c r="O17" s="625"/>
      <c r="P17" s="219"/>
      <c r="Q17" s="219"/>
      <c r="R17" s="219"/>
      <c r="S17" s="219"/>
      <c r="T17" s="219"/>
      <c r="U17" s="219"/>
      <c r="V17" s="220"/>
    </row>
    <row r="18" spans="3:22" ht="21.95" customHeight="1">
      <c r="M18" s="214"/>
      <c r="N18" s="215"/>
      <c r="O18" s="215"/>
      <c r="P18" s="215"/>
      <c r="Q18" s="215"/>
      <c r="R18" s="215"/>
      <c r="S18" s="215"/>
      <c r="T18" s="215"/>
      <c r="U18" s="215"/>
      <c r="V18" s="216"/>
    </row>
    <row r="19" spans="3:22" ht="21.95" customHeight="1">
      <c r="M19" s="214"/>
      <c r="N19" s="215"/>
      <c r="O19" s="215"/>
      <c r="P19" s="215" t="str">
        <f>IF(N27&gt;=100000, "PAN NO. OF House Owner", "")</f>
        <v/>
      </c>
      <c r="Q19"/>
      <c r="R19" s="215"/>
      <c r="S19" s="215"/>
      <c r="T19" s="215"/>
      <c r="U19" s="223"/>
      <c r="V19" s="216"/>
    </row>
    <row r="20" spans="3:22">
      <c r="M20" s="214"/>
      <c r="N20" s="215"/>
      <c r="O20" s="215"/>
      <c r="P20" s="636"/>
      <c r="Q20" s="636"/>
      <c r="R20" s="636"/>
      <c r="S20" s="215"/>
      <c r="T20" s="215"/>
      <c r="U20" s="215"/>
      <c r="V20" s="216"/>
    </row>
    <row r="21" spans="3:22">
      <c r="M21" s="214"/>
      <c r="N21" s="215"/>
      <c r="O21" s="215"/>
      <c r="P21" s="215"/>
      <c r="Q21" s="215"/>
      <c r="R21" s="215"/>
      <c r="S21" s="215"/>
      <c r="T21" s="215" t="s">
        <v>326</v>
      </c>
      <c r="U21" s="215"/>
      <c r="V21" s="216"/>
    </row>
    <row r="22" spans="3:22">
      <c r="M22" s="214"/>
      <c r="N22" s="215"/>
      <c r="O22" s="215"/>
      <c r="P22" s="215"/>
      <c r="Q22" s="215"/>
      <c r="R22" s="215"/>
      <c r="S22" s="215"/>
      <c r="T22" s="215"/>
      <c r="U22" s="215"/>
      <c r="V22" s="216"/>
    </row>
    <row r="23" spans="3:22">
      <c r="M23" s="214"/>
      <c r="N23" s="215"/>
      <c r="O23" s="215"/>
      <c r="P23" s="215"/>
      <c r="Q23" s="215"/>
      <c r="R23" s="215"/>
      <c r="S23" s="215"/>
      <c r="T23" s="215"/>
      <c r="U23" s="215"/>
      <c r="V23" s="216"/>
    </row>
    <row r="24" spans="3:22">
      <c r="M24" s="224"/>
      <c r="N24" s="225"/>
      <c r="O24" s="225"/>
      <c r="P24" s="225"/>
      <c r="Q24" s="225"/>
      <c r="R24" s="225"/>
      <c r="S24" s="225"/>
      <c r="T24" s="225"/>
      <c r="U24" s="225"/>
      <c r="V24" s="226"/>
    </row>
    <row r="25" spans="3:22">
      <c r="M25" s="628"/>
      <c r="N25" s="628"/>
      <c r="O25" s="628"/>
      <c r="P25" s="628"/>
      <c r="Q25" s="628"/>
      <c r="R25" s="628"/>
      <c r="S25" s="628"/>
      <c r="T25" s="628"/>
      <c r="U25" s="628"/>
      <c r="V25" s="628"/>
    </row>
    <row r="26" spans="3:22" hidden="1">
      <c r="M26"/>
      <c r="N26" s="212">
        <f>J9</f>
        <v>5000</v>
      </c>
      <c r="O26"/>
      <c r="P26"/>
      <c r="Q26"/>
      <c r="R26"/>
      <c r="S26"/>
      <c r="T26"/>
      <c r="U26"/>
      <c r="V26"/>
    </row>
    <row r="27" spans="3:22" hidden="1">
      <c r="M27"/>
      <c r="N27" s="212">
        <f>N26*12</f>
        <v>60000</v>
      </c>
      <c r="O27"/>
      <c r="P27"/>
      <c r="Q27"/>
      <c r="R27"/>
      <c r="S27"/>
      <c r="T27"/>
      <c r="U27"/>
      <c r="V27"/>
    </row>
    <row r="28" spans="3:22" hidden="1">
      <c r="M28"/>
      <c r="N28" s="14">
        <v>42826</v>
      </c>
      <c r="O28" s="78">
        <f ca="1">V8-N28</f>
        <v>205</v>
      </c>
      <c r="P28"/>
      <c r="Q28" s="78"/>
      <c r="R28"/>
      <c r="S28"/>
      <c r="T28"/>
      <c r="U28"/>
      <c r="V28"/>
    </row>
    <row r="29" spans="3:22" hidden="1">
      <c r="M29"/>
      <c r="N29" s="78">
        <f ca="1">MOD(O28, 30)</f>
        <v>25</v>
      </c>
      <c r="O29" s="78">
        <f ca="1">IF(N29&gt;=15,(O28-N29)/30+1,(O28-N29)/30)</f>
        <v>7</v>
      </c>
      <c r="P29" s="78"/>
      <c r="Q29"/>
      <c r="R29"/>
      <c r="S29"/>
      <c r="T29"/>
      <c r="U29"/>
      <c r="V29"/>
    </row>
    <row r="30" spans="3:22" hidden="1">
      <c r="M30"/>
      <c r="N30"/>
      <c r="O30" s="78">
        <f ca="1">12-O29</f>
        <v>5</v>
      </c>
      <c r="P30" s="78"/>
      <c r="Q30"/>
      <c r="R30"/>
      <c r="S30"/>
      <c r="T30"/>
      <c r="U30"/>
      <c r="V30"/>
    </row>
    <row r="31" spans="3:22">
      <c r="M31"/>
      <c r="N31"/>
      <c r="O31"/>
      <c r="P31"/>
      <c r="Q31"/>
      <c r="R31"/>
      <c r="S31"/>
      <c r="T31"/>
      <c r="U31"/>
      <c r="V31"/>
    </row>
    <row r="32" spans="3:22">
      <c r="M32"/>
      <c r="N32"/>
      <c r="O32"/>
      <c r="P32"/>
      <c r="Q32"/>
      <c r="R32"/>
      <c r="S32"/>
      <c r="T32"/>
      <c r="U32"/>
      <c r="V32"/>
    </row>
    <row r="33" spans="13:22">
      <c r="M33"/>
      <c r="N33"/>
      <c r="O33"/>
      <c r="P33"/>
      <c r="Q33"/>
      <c r="R33"/>
      <c r="S33"/>
      <c r="T33"/>
      <c r="U33"/>
      <c r="V33"/>
    </row>
    <row r="34" spans="13:22">
      <c r="M34"/>
      <c r="N34"/>
      <c r="O34"/>
      <c r="P34"/>
      <c r="Q34"/>
      <c r="R34"/>
      <c r="S34"/>
      <c r="T34"/>
      <c r="U34"/>
      <c r="V34"/>
    </row>
    <row r="35" spans="13:22">
      <c r="M35"/>
      <c r="N35"/>
      <c r="O35"/>
      <c r="P35"/>
      <c r="Q35"/>
      <c r="R35"/>
      <c r="S35"/>
      <c r="T35"/>
      <c r="U35"/>
      <c r="V35"/>
    </row>
    <row r="36" spans="13:22">
      <c r="M36"/>
      <c r="N36"/>
      <c r="O36"/>
      <c r="P36"/>
      <c r="Q36"/>
      <c r="R36"/>
      <c r="S36"/>
      <c r="T36"/>
      <c r="U36"/>
      <c r="V36"/>
    </row>
    <row r="37" spans="13:22">
      <c r="M37"/>
      <c r="N37"/>
      <c r="O37"/>
      <c r="P37"/>
      <c r="Q37"/>
      <c r="R37"/>
      <c r="S37"/>
      <c r="T37"/>
      <c r="U37"/>
      <c r="V37"/>
    </row>
    <row r="38" spans="13:22">
      <c r="M38"/>
      <c r="N38"/>
      <c r="O38"/>
      <c r="P38"/>
      <c r="Q38"/>
      <c r="R38"/>
      <c r="S38"/>
      <c r="T38"/>
      <c r="U38"/>
      <c r="V38"/>
    </row>
    <row r="39" spans="13:22">
      <c r="M39"/>
      <c r="N39"/>
      <c r="O39"/>
      <c r="P39"/>
      <c r="Q39"/>
      <c r="R39"/>
      <c r="S39"/>
      <c r="T39"/>
      <c r="U39"/>
      <c r="V39"/>
    </row>
    <row r="40" spans="13:22">
      <c r="M40"/>
      <c r="N40"/>
      <c r="O40"/>
      <c r="P40"/>
      <c r="Q40"/>
      <c r="R40"/>
      <c r="S40"/>
      <c r="T40"/>
      <c r="U40"/>
      <c r="V40"/>
    </row>
    <row r="41" spans="13:22">
      <c r="M41"/>
      <c r="N41"/>
      <c r="O41"/>
      <c r="P41"/>
      <c r="Q41"/>
      <c r="R41"/>
      <c r="S41"/>
      <c r="T41"/>
      <c r="U41"/>
      <c r="V41"/>
    </row>
    <row r="42" spans="13:22">
      <c r="M42"/>
      <c r="N42"/>
      <c r="O42"/>
      <c r="P42"/>
      <c r="Q42"/>
      <c r="R42"/>
      <c r="S42"/>
      <c r="T42"/>
      <c r="U42"/>
      <c r="V42"/>
    </row>
    <row r="43" spans="13:22">
      <c r="M43"/>
      <c r="N43"/>
      <c r="O43"/>
      <c r="P43"/>
      <c r="Q43"/>
      <c r="R43"/>
      <c r="S43"/>
      <c r="T43"/>
      <c r="U43"/>
      <c r="V43"/>
    </row>
    <row r="44" spans="13:22">
      <c r="M44"/>
      <c r="N44"/>
      <c r="O44"/>
      <c r="P44"/>
      <c r="Q44"/>
      <c r="R44"/>
      <c r="S44"/>
      <c r="T44"/>
      <c r="U44"/>
      <c r="V44"/>
    </row>
    <row r="45" spans="13:22">
      <c r="M45"/>
      <c r="N45"/>
      <c r="O45"/>
      <c r="P45"/>
      <c r="Q45"/>
      <c r="R45"/>
      <c r="S45"/>
      <c r="T45"/>
      <c r="U45"/>
      <c r="V45"/>
    </row>
    <row r="46" spans="13:22">
      <c r="M46"/>
      <c r="N46"/>
      <c r="O46"/>
      <c r="P46"/>
      <c r="Q46"/>
      <c r="R46"/>
      <c r="S46"/>
      <c r="T46"/>
      <c r="U46"/>
      <c r="V46"/>
    </row>
    <row r="47" spans="13:22">
      <c r="M47"/>
      <c r="N47"/>
      <c r="O47"/>
      <c r="P47"/>
      <c r="Q47"/>
      <c r="R47"/>
      <c r="S47"/>
      <c r="T47"/>
      <c r="U47"/>
      <c r="V47"/>
    </row>
    <row r="48" spans="13:22">
      <c r="M48"/>
      <c r="N48"/>
      <c r="O48"/>
      <c r="P48"/>
      <c r="Q48"/>
      <c r="R48"/>
      <c r="S48"/>
      <c r="T48"/>
      <c r="U48"/>
      <c r="V48"/>
    </row>
    <row r="49" spans="13:22">
      <c r="M49"/>
      <c r="N49"/>
      <c r="O49"/>
      <c r="P49"/>
      <c r="Q49"/>
      <c r="R49"/>
      <c r="S49"/>
      <c r="T49"/>
      <c r="U49"/>
      <c r="V49"/>
    </row>
    <row r="50" spans="13:22">
      <c r="M50"/>
      <c r="N50"/>
      <c r="O50"/>
      <c r="P50"/>
      <c r="Q50"/>
      <c r="R50"/>
      <c r="S50"/>
      <c r="T50"/>
      <c r="U50"/>
      <c r="V50"/>
    </row>
    <row r="51" spans="13:22">
      <c r="M51"/>
      <c r="N51"/>
      <c r="O51"/>
      <c r="P51"/>
      <c r="Q51"/>
      <c r="R51"/>
      <c r="S51"/>
      <c r="T51"/>
      <c r="U51"/>
      <c r="V51"/>
    </row>
    <row r="52" spans="13:22">
      <c r="M52"/>
      <c r="N52"/>
      <c r="O52"/>
      <c r="P52"/>
      <c r="Q52"/>
      <c r="R52"/>
      <c r="S52"/>
      <c r="T52"/>
      <c r="U52"/>
      <c r="V52"/>
    </row>
    <row r="53" spans="13:22">
      <c r="M53"/>
      <c r="N53"/>
      <c r="O53"/>
      <c r="P53"/>
      <c r="Q53"/>
      <c r="R53"/>
      <c r="S53"/>
      <c r="T53"/>
      <c r="U53"/>
      <c r="V53"/>
    </row>
    <row r="54" spans="13:22">
      <c r="M54"/>
      <c r="N54"/>
      <c r="O54"/>
      <c r="P54"/>
      <c r="Q54"/>
      <c r="R54"/>
      <c r="S54"/>
      <c r="T54"/>
      <c r="U54"/>
      <c r="V54"/>
    </row>
    <row r="55" spans="13:22">
      <c r="M55"/>
      <c r="N55"/>
      <c r="O55"/>
      <c r="P55"/>
      <c r="Q55"/>
      <c r="R55"/>
      <c r="S55"/>
      <c r="T55"/>
      <c r="U55"/>
      <c r="V55"/>
    </row>
    <row r="56" spans="13:22">
      <c r="M56"/>
      <c r="N56"/>
      <c r="O56"/>
      <c r="P56"/>
      <c r="Q56"/>
      <c r="R56"/>
      <c r="S56"/>
      <c r="T56"/>
      <c r="U56"/>
      <c r="V56"/>
    </row>
    <row r="57" spans="13:22">
      <c r="M57"/>
      <c r="N57"/>
      <c r="O57"/>
      <c r="P57"/>
      <c r="Q57"/>
      <c r="R57"/>
      <c r="S57"/>
      <c r="T57"/>
      <c r="U57"/>
      <c r="V57"/>
    </row>
    <row r="58" spans="13:22">
      <c r="M58"/>
      <c r="N58"/>
      <c r="O58"/>
      <c r="P58"/>
      <c r="Q58"/>
      <c r="R58"/>
      <c r="S58"/>
      <c r="T58"/>
      <c r="U58"/>
      <c r="V58"/>
    </row>
    <row r="59" spans="13:22">
      <c r="M59"/>
      <c r="N59"/>
      <c r="O59"/>
      <c r="P59"/>
      <c r="Q59"/>
      <c r="R59"/>
      <c r="S59"/>
      <c r="T59"/>
      <c r="U59"/>
      <c r="V59"/>
    </row>
    <row r="60" spans="13:22">
      <c r="M60"/>
      <c r="N60"/>
      <c r="O60"/>
      <c r="P60"/>
      <c r="Q60"/>
      <c r="R60"/>
      <c r="S60"/>
      <c r="T60"/>
      <c r="U60"/>
      <c r="V60"/>
    </row>
    <row r="61" spans="13:22">
      <c r="M61"/>
      <c r="N61"/>
      <c r="O61"/>
      <c r="P61"/>
      <c r="Q61"/>
      <c r="R61"/>
      <c r="S61"/>
      <c r="T61"/>
      <c r="U61"/>
      <c r="V61"/>
    </row>
    <row r="62" spans="13:22">
      <c r="M62"/>
      <c r="N62"/>
      <c r="O62"/>
      <c r="P62"/>
      <c r="Q62"/>
      <c r="R62"/>
      <c r="S62"/>
      <c r="T62"/>
      <c r="U62"/>
      <c r="V62"/>
    </row>
    <row r="63" spans="13:22">
      <c r="M63"/>
      <c r="N63"/>
      <c r="O63"/>
      <c r="P63"/>
      <c r="Q63"/>
      <c r="R63"/>
      <c r="S63"/>
      <c r="T63"/>
      <c r="U63"/>
      <c r="V63"/>
    </row>
    <row r="64" spans="13:22">
      <c r="M64"/>
      <c r="N64"/>
      <c r="O64"/>
      <c r="P64"/>
      <c r="Q64"/>
      <c r="R64"/>
      <c r="S64"/>
      <c r="T64"/>
      <c r="U64"/>
      <c r="V64"/>
    </row>
    <row r="65" spans="13:22">
      <c r="M65"/>
      <c r="N65"/>
      <c r="O65"/>
      <c r="P65"/>
      <c r="Q65"/>
      <c r="R65"/>
      <c r="S65"/>
      <c r="T65"/>
      <c r="U65"/>
      <c r="V65"/>
    </row>
    <row r="66" spans="13:22">
      <c r="M66"/>
      <c r="N66"/>
      <c r="O66"/>
      <c r="P66"/>
      <c r="Q66"/>
      <c r="R66"/>
      <c r="S66"/>
      <c r="T66"/>
      <c r="U66"/>
      <c r="V66"/>
    </row>
    <row r="67" spans="13:22">
      <c r="M67"/>
      <c r="N67"/>
      <c r="O67"/>
      <c r="P67"/>
      <c r="Q67"/>
      <c r="R67"/>
      <c r="S67"/>
      <c r="T67"/>
      <c r="U67"/>
      <c r="V67"/>
    </row>
    <row r="68" spans="13:22">
      <c r="M68"/>
      <c r="N68"/>
      <c r="O68"/>
      <c r="P68"/>
      <c r="Q68"/>
      <c r="R68"/>
      <c r="S68"/>
      <c r="T68"/>
      <c r="U68"/>
      <c r="V68"/>
    </row>
    <row r="69" spans="13:22">
      <c r="M69"/>
      <c r="N69"/>
      <c r="O69"/>
      <c r="P69"/>
      <c r="Q69"/>
      <c r="R69"/>
      <c r="S69"/>
      <c r="T69"/>
      <c r="U69"/>
      <c r="V69"/>
    </row>
    <row r="70" spans="13:22">
      <c r="M70"/>
      <c r="N70"/>
      <c r="O70"/>
      <c r="P70"/>
      <c r="Q70"/>
      <c r="R70"/>
      <c r="S70"/>
      <c r="T70"/>
      <c r="U70"/>
      <c r="V70"/>
    </row>
    <row r="71" spans="13:22">
      <c r="M71"/>
      <c r="N71"/>
      <c r="O71"/>
      <c r="P71"/>
      <c r="Q71"/>
      <c r="R71"/>
      <c r="S71"/>
      <c r="T71"/>
      <c r="U71"/>
      <c r="V71"/>
    </row>
  </sheetData>
  <sheetProtection password="CF6D" sheet="1" objects="1" scenarios="1" selectLockedCells="1"/>
  <mergeCells count="16">
    <mergeCell ref="P13:U13"/>
    <mergeCell ref="B1:K1"/>
    <mergeCell ref="B2:K2"/>
    <mergeCell ref="M25:V25"/>
    <mergeCell ref="M4:V4"/>
    <mergeCell ref="M6:V6"/>
    <mergeCell ref="M17:O17"/>
    <mergeCell ref="P20:R20"/>
    <mergeCell ref="G14:I14"/>
    <mergeCell ref="F16:K16"/>
    <mergeCell ref="B3:K3"/>
    <mergeCell ref="G4:J5"/>
    <mergeCell ref="G6:J7"/>
    <mergeCell ref="G9:I9"/>
    <mergeCell ref="G10:I10"/>
    <mergeCell ref="G13:I13"/>
  </mergeCells>
  <dataValidations count="2">
    <dataValidation type="list" allowBlank="1" showInputMessage="1" showErrorMessage="1" sqref="C5:C16">
      <formula1>"Y,N"</formula1>
    </dataValidation>
    <dataValidation operator="lessThanOrEqual" allowBlank="1" showInputMessage="1" showErrorMessage="1" errorTitle="Sorry...!!! Not Allow" error="HRA Rebate Permissible up to Actual HRA Recieved" sqref="J10"/>
  </dataValidations>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52"/>
  <sheetViews>
    <sheetView workbookViewId="0">
      <selection activeCell="I9" sqref="I9:K9"/>
    </sheetView>
  </sheetViews>
  <sheetFormatPr defaultRowHeight="15"/>
  <cols>
    <col min="1" max="1" width="8.5703125" customWidth="1"/>
    <col min="2" max="2" width="8" customWidth="1"/>
    <col min="3" max="3" width="5.5703125" customWidth="1"/>
    <col min="4" max="4" width="11.42578125" customWidth="1"/>
    <col min="5" max="5" width="21" customWidth="1"/>
    <col min="6" max="6" width="7" customWidth="1"/>
    <col min="7" max="7" width="6.28515625" customWidth="1"/>
    <col min="8" max="8" width="7.85546875" customWidth="1"/>
    <col min="9" max="9" width="6.7109375" customWidth="1"/>
    <col min="11" max="11" width="5.7109375" customWidth="1"/>
    <col min="13" max="13" width="15.5703125" bestFit="1" customWidth="1"/>
  </cols>
  <sheetData>
    <row r="1" spans="1:11" ht="13.5" customHeight="1">
      <c r="A1" s="829" t="s">
        <v>43</v>
      </c>
      <c r="B1" s="829"/>
      <c r="C1" s="829"/>
      <c r="D1" s="829"/>
      <c r="E1" s="829"/>
      <c r="F1" s="829"/>
      <c r="G1" s="829"/>
      <c r="H1" s="829"/>
      <c r="I1" s="829"/>
      <c r="J1" s="829"/>
      <c r="K1" s="829"/>
    </row>
    <row r="2" spans="1:11" ht="11.25" customHeight="1">
      <c r="A2" s="818" t="s">
        <v>44</v>
      </c>
      <c r="B2" s="818"/>
      <c r="C2" s="818"/>
      <c r="D2" s="818"/>
      <c r="E2" s="818"/>
      <c r="F2" s="818"/>
      <c r="G2" s="818"/>
      <c r="H2" s="818"/>
      <c r="I2" s="818"/>
      <c r="J2" s="818"/>
      <c r="K2" s="818"/>
    </row>
    <row r="3" spans="1:11" ht="11.25" customHeight="1">
      <c r="A3" s="818" t="s">
        <v>45</v>
      </c>
      <c r="B3" s="818"/>
      <c r="C3" s="818"/>
      <c r="D3" s="818"/>
      <c r="E3" s="818"/>
      <c r="F3" s="818"/>
      <c r="G3" s="818"/>
      <c r="H3" s="818"/>
      <c r="I3" s="818"/>
      <c r="J3" s="818"/>
      <c r="K3" s="818"/>
    </row>
    <row r="4" spans="1:11" ht="13.5" customHeight="1">
      <c r="A4" s="818" t="s">
        <v>46</v>
      </c>
      <c r="B4" s="818"/>
      <c r="C4" s="818"/>
      <c r="D4" s="818"/>
      <c r="E4" s="818"/>
      <c r="F4" s="818"/>
      <c r="G4" s="818"/>
      <c r="H4" s="818"/>
      <c r="I4" s="818"/>
      <c r="J4" s="818"/>
      <c r="K4" s="818"/>
    </row>
    <row r="5" spans="1:11">
      <c r="A5" s="837" t="s">
        <v>20</v>
      </c>
      <c r="B5" s="838"/>
      <c r="C5" s="838"/>
      <c r="D5" s="838"/>
      <c r="E5" s="839"/>
      <c r="F5" s="840" t="s">
        <v>47</v>
      </c>
      <c r="G5" s="840"/>
      <c r="H5" s="840"/>
      <c r="I5" s="840"/>
      <c r="J5" s="840"/>
      <c r="K5" s="840"/>
    </row>
    <row r="6" spans="1:11" ht="14.25" customHeight="1">
      <c r="A6" s="811" t="str">
        <f>Home!J14</f>
        <v>ALTAF AHAMAD KHAN</v>
      </c>
      <c r="B6" s="812"/>
      <c r="C6" s="812"/>
      <c r="D6" s="812"/>
      <c r="E6" s="813"/>
      <c r="F6" s="841" t="str">
        <f>COMPUTATION!E3</f>
        <v>VIJAY RANWA</v>
      </c>
      <c r="G6" s="842"/>
      <c r="H6" s="842"/>
      <c r="I6" s="842"/>
      <c r="J6" s="842"/>
      <c r="K6" s="843"/>
    </row>
    <row r="7" spans="1:11" ht="14.25" customHeight="1">
      <c r="A7" s="808" t="str">
        <f>Home!J12</f>
        <v>AMARPURA</v>
      </c>
      <c r="B7" s="809"/>
      <c r="C7" s="809"/>
      <c r="D7" s="809"/>
      <c r="E7" s="810"/>
      <c r="F7" s="808" t="str">
        <f>COMPUTATION!J3</f>
        <v xml:space="preserve"> TEACHER</v>
      </c>
      <c r="G7" s="809"/>
      <c r="H7" s="809"/>
      <c r="I7" s="809"/>
      <c r="J7" s="809"/>
      <c r="K7" s="810"/>
    </row>
    <row r="8" spans="1:11" ht="14.25" customHeight="1">
      <c r="A8" s="822" t="s">
        <v>21</v>
      </c>
      <c r="B8" s="805"/>
      <c r="C8" s="806"/>
      <c r="D8" s="805" t="s">
        <v>48</v>
      </c>
      <c r="E8" s="806"/>
      <c r="F8" s="807" t="s">
        <v>22</v>
      </c>
      <c r="G8" s="805"/>
      <c r="H8" s="806"/>
      <c r="I8" s="805" t="s">
        <v>49</v>
      </c>
      <c r="J8" s="805"/>
      <c r="K8" s="806"/>
    </row>
    <row r="9" spans="1:11" ht="14.25" customHeight="1">
      <c r="A9" s="830" t="str">
        <f>Home!J16</f>
        <v>BPGLP1184D</v>
      </c>
      <c r="B9" s="831"/>
      <c r="C9" s="831"/>
      <c r="D9" s="818" t="str">
        <f>Home!J13</f>
        <v>2015V</v>
      </c>
      <c r="E9" s="820"/>
      <c r="F9" s="818" t="str">
        <f>COMPUTATION!M3</f>
        <v>BPGPS1184D</v>
      </c>
      <c r="G9" s="818"/>
      <c r="H9" s="818"/>
      <c r="I9" s="832"/>
      <c r="J9" s="832"/>
      <c r="K9" s="832"/>
    </row>
    <row r="10" spans="1:11" ht="14.25" customHeight="1">
      <c r="A10" s="835" t="s">
        <v>23</v>
      </c>
      <c r="B10" s="836"/>
      <c r="C10" s="836"/>
      <c r="D10" s="836"/>
      <c r="E10" s="836"/>
      <c r="F10" s="818" t="s">
        <v>50</v>
      </c>
      <c r="G10" s="818"/>
      <c r="H10" s="818" t="s">
        <v>51</v>
      </c>
      <c r="I10" s="818"/>
      <c r="J10" s="818"/>
      <c r="K10" s="818"/>
    </row>
    <row r="11" spans="1:11" ht="14.25" customHeight="1">
      <c r="A11" s="101" t="s">
        <v>52</v>
      </c>
      <c r="B11" s="816" t="s">
        <v>38</v>
      </c>
      <c r="C11" s="816"/>
      <c r="D11" s="816"/>
      <c r="E11" s="816"/>
      <c r="F11" s="817" t="s">
        <v>316</v>
      </c>
      <c r="G11" s="817"/>
      <c r="H11" s="641" t="s">
        <v>24</v>
      </c>
      <c r="I11" s="641"/>
      <c r="J11" s="818" t="s">
        <v>18</v>
      </c>
      <c r="K11" s="818"/>
    </row>
    <row r="12" spans="1:11" ht="14.25" customHeight="1">
      <c r="A12" s="101" t="s">
        <v>53</v>
      </c>
      <c r="B12" s="816" t="s">
        <v>54</v>
      </c>
      <c r="C12" s="816"/>
      <c r="D12" s="101" t="s">
        <v>42</v>
      </c>
      <c r="E12" s="102">
        <v>334001</v>
      </c>
      <c r="F12" s="817"/>
      <c r="G12" s="817"/>
      <c r="H12" s="819" t="s">
        <v>317</v>
      </c>
      <c r="I12" s="819"/>
      <c r="J12" s="819" t="s">
        <v>318</v>
      </c>
      <c r="K12" s="819"/>
    </row>
    <row r="13" spans="1:11" ht="14.25" customHeight="1">
      <c r="A13" s="833" t="s">
        <v>55</v>
      </c>
      <c r="B13" s="833"/>
      <c r="C13" s="833"/>
      <c r="D13" s="833"/>
      <c r="E13" s="833"/>
      <c r="F13" s="834"/>
      <c r="G13" s="834"/>
      <c r="H13" s="834"/>
      <c r="I13" s="834"/>
      <c r="J13" s="834"/>
      <c r="K13" s="834"/>
    </row>
    <row r="14" spans="1:11" ht="37.5" customHeight="1">
      <c r="A14" s="16" t="s">
        <v>56</v>
      </c>
      <c r="B14" s="814" t="s">
        <v>57</v>
      </c>
      <c r="C14" s="814"/>
      <c r="D14" s="814"/>
      <c r="E14" s="17" t="s">
        <v>58</v>
      </c>
      <c r="F14" s="815" t="s">
        <v>59</v>
      </c>
      <c r="G14" s="815"/>
      <c r="H14" s="815"/>
      <c r="I14" s="814" t="s">
        <v>60</v>
      </c>
      <c r="J14" s="814"/>
      <c r="K14" s="814"/>
    </row>
    <row r="15" spans="1:11" ht="14.25" customHeight="1">
      <c r="A15" s="367" t="s">
        <v>61</v>
      </c>
      <c r="B15" s="801"/>
      <c r="C15" s="801"/>
      <c r="D15" s="801"/>
      <c r="E15" s="373">
        <f>COMPUTATION!E50</f>
        <v>0</v>
      </c>
      <c r="F15" s="802">
        <f>IF(E15="","NIL", E15)</f>
        <v>0</v>
      </c>
      <c r="G15" s="802"/>
      <c r="H15" s="802"/>
      <c r="I15" s="802">
        <f>F15</f>
        <v>0</v>
      </c>
      <c r="J15" s="802"/>
      <c r="K15" s="802"/>
    </row>
    <row r="16" spans="1:11" ht="14.25" customHeight="1">
      <c r="A16" s="367" t="s">
        <v>62</v>
      </c>
      <c r="B16" s="801"/>
      <c r="C16" s="801"/>
      <c r="D16" s="801"/>
      <c r="E16" s="373">
        <f>COMPUTATION!G50</f>
        <v>0</v>
      </c>
      <c r="F16" s="802">
        <f>IF(E16="","NIL", E16)</f>
        <v>0</v>
      </c>
      <c r="G16" s="802"/>
      <c r="H16" s="802"/>
      <c r="I16" s="802">
        <f>F16</f>
        <v>0</v>
      </c>
      <c r="J16" s="802"/>
      <c r="K16" s="802"/>
    </row>
    <row r="17" spans="1:11" ht="12" customHeight="1">
      <c r="A17" s="367" t="s">
        <v>63</v>
      </c>
      <c r="B17" s="801"/>
      <c r="C17" s="801"/>
      <c r="D17" s="801"/>
      <c r="E17" s="373">
        <f>COMPUTATION!I50+COMPUTATION!J50</f>
        <v>0</v>
      </c>
      <c r="F17" s="802">
        <f>IF(E17="","NIL", E17)</f>
        <v>0</v>
      </c>
      <c r="G17" s="802"/>
      <c r="H17" s="802"/>
      <c r="I17" s="802">
        <f>F17</f>
        <v>0</v>
      </c>
      <c r="J17" s="802"/>
      <c r="K17" s="802"/>
    </row>
    <row r="18" spans="1:11" ht="12" customHeight="1">
      <c r="A18" s="367" t="s">
        <v>64</v>
      </c>
      <c r="B18" s="801"/>
      <c r="C18" s="801"/>
      <c r="D18" s="801"/>
      <c r="E18" s="373">
        <f>COMPUTATION!K50</f>
        <v>0</v>
      </c>
      <c r="F18" s="802">
        <f>IF(E18="","NIL", E18)</f>
        <v>0</v>
      </c>
      <c r="G18" s="802"/>
      <c r="H18" s="802"/>
      <c r="I18" s="802">
        <f>F18</f>
        <v>0</v>
      </c>
      <c r="J18" s="802"/>
      <c r="K18" s="802"/>
    </row>
    <row r="19" spans="1:11" ht="12" customHeight="1">
      <c r="A19" s="820" t="s">
        <v>8</v>
      </c>
      <c r="B19" s="821"/>
      <c r="C19" s="821"/>
      <c r="D19" s="821"/>
      <c r="E19" s="374">
        <f>SUM(E15:E18)</f>
        <v>0</v>
      </c>
      <c r="F19" s="800">
        <f>SUM(F15:F18)</f>
        <v>0</v>
      </c>
      <c r="G19" s="800"/>
      <c r="H19" s="800"/>
      <c r="I19" s="800">
        <f>SUM(I15:I18)</f>
        <v>0</v>
      </c>
      <c r="J19" s="800"/>
      <c r="K19" s="800"/>
    </row>
    <row r="20" spans="1:11">
      <c r="A20" s="796" t="s">
        <v>65</v>
      </c>
      <c r="B20" s="797"/>
      <c r="C20" s="797"/>
      <c r="D20" s="797"/>
      <c r="E20" s="797"/>
      <c r="F20" s="797"/>
      <c r="G20" s="797"/>
      <c r="H20" s="797"/>
      <c r="I20" s="797"/>
      <c r="J20" s="797"/>
      <c r="K20" s="798"/>
    </row>
    <row r="21" spans="1:11">
      <c r="A21" s="785" t="s">
        <v>66</v>
      </c>
      <c r="B21" s="786"/>
      <c r="C21" s="786"/>
      <c r="D21" s="786"/>
      <c r="E21" s="786"/>
      <c r="F21" s="786"/>
      <c r="G21" s="786"/>
      <c r="H21" s="786"/>
      <c r="I21" s="786"/>
      <c r="J21" s="786"/>
      <c r="K21" s="787"/>
    </row>
    <row r="22" spans="1:11">
      <c r="A22" s="789" t="s">
        <v>67</v>
      </c>
      <c r="B22" s="799" t="s">
        <v>577</v>
      </c>
      <c r="C22" s="799"/>
      <c r="D22" s="788" t="s">
        <v>68</v>
      </c>
      <c r="E22" s="788"/>
      <c r="F22" s="788"/>
      <c r="G22" s="788"/>
      <c r="H22" s="788"/>
      <c r="I22" s="788"/>
      <c r="J22" s="788"/>
      <c r="K22" s="788"/>
    </row>
    <row r="23" spans="1:11" ht="36" customHeight="1">
      <c r="A23" s="789"/>
      <c r="B23" s="799"/>
      <c r="C23" s="799"/>
      <c r="D23" s="369" t="s">
        <v>69</v>
      </c>
      <c r="E23" s="375" t="s">
        <v>70</v>
      </c>
      <c r="F23" s="799" t="s">
        <v>71</v>
      </c>
      <c r="G23" s="799"/>
      <c r="H23" s="799"/>
      <c r="I23" s="799" t="s">
        <v>72</v>
      </c>
      <c r="J23" s="799"/>
      <c r="K23" s="799"/>
    </row>
    <row r="24" spans="1:11" ht="13.5" customHeight="1">
      <c r="A24" s="18">
        <v>1</v>
      </c>
      <c r="B24" s="793">
        <f>'G.A. 55'!R8</f>
        <v>0</v>
      </c>
      <c r="C24" s="793"/>
      <c r="D24" s="368"/>
      <c r="E24" s="368"/>
      <c r="F24" s="782"/>
      <c r="G24" s="782"/>
      <c r="H24" s="782"/>
      <c r="I24" s="795" t="str">
        <f>IF(D24&gt;"0","Yes","-")</f>
        <v>-</v>
      </c>
      <c r="J24" s="795"/>
      <c r="K24" s="795"/>
    </row>
    <row r="25" spans="1:11" ht="13.5" customHeight="1">
      <c r="A25" s="18">
        <v>2</v>
      </c>
      <c r="B25" s="793">
        <f>'G.A. 55'!R9</f>
        <v>0</v>
      </c>
      <c r="C25" s="793"/>
      <c r="D25" s="368"/>
      <c r="E25" s="368"/>
      <c r="F25" s="782"/>
      <c r="G25" s="782"/>
      <c r="H25" s="782"/>
      <c r="I25" s="795" t="str">
        <f t="shared" ref="I25:I37" si="0">IF(D25&gt;"0","Yes","-")</f>
        <v>-</v>
      </c>
      <c r="J25" s="795"/>
      <c r="K25" s="795"/>
    </row>
    <row r="26" spans="1:11" ht="13.5" customHeight="1">
      <c r="A26" s="18">
        <v>3</v>
      </c>
      <c r="B26" s="793">
        <f>'G.A. 55'!R10</f>
        <v>0</v>
      </c>
      <c r="C26" s="793"/>
      <c r="D26" s="368"/>
      <c r="E26" s="368"/>
      <c r="F26" s="782"/>
      <c r="G26" s="782"/>
      <c r="H26" s="782"/>
      <c r="I26" s="795" t="str">
        <f t="shared" si="0"/>
        <v>-</v>
      </c>
      <c r="J26" s="795"/>
      <c r="K26" s="795"/>
    </row>
    <row r="27" spans="1:11" ht="13.5" customHeight="1">
      <c r="A27" s="18">
        <v>4</v>
      </c>
      <c r="B27" s="793">
        <f>'G.A. 55'!R11</f>
        <v>0</v>
      </c>
      <c r="C27" s="793"/>
      <c r="D27" s="368"/>
      <c r="E27" s="368"/>
      <c r="F27" s="782"/>
      <c r="G27" s="782"/>
      <c r="H27" s="782"/>
      <c r="I27" s="795" t="str">
        <f t="shared" si="0"/>
        <v>-</v>
      </c>
      <c r="J27" s="795"/>
      <c r="K27" s="795"/>
    </row>
    <row r="28" spans="1:11" ht="13.5" customHeight="1">
      <c r="A28" s="18">
        <v>5</v>
      </c>
      <c r="B28" s="793">
        <f>'G.A. 55'!R12</f>
        <v>0</v>
      </c>
      <c r="C28" s="793"/>
      <c r="D28" s="368"/>
      <c r="E28" s="368"/>
      <c r="F28" s="782"/>
      <c r="G28" s="782"/>
      <c r="H28" s="782"/>
      <c r="I28" s="795" t="str">
        <f t="shared" si="0"/>
        <v>-</v>
      </c>
      <c r="J28" s="795"/>
      <c r="K28" s="795"/>
    </row>
    <row r="29" spans="1:11" ht="13.5" customHeight="1">
      <c r="A29" s="18">
        <v>6</v>
      </c>
      <c r="B29" s="793">
        <f>'G.A. 55'!R13</f>
        <v>0</v>
      </c>
      <c r="C29" s="793"/>
      <c r="D29" s="368"/>
      <c r="E29" s="368"/>
      <c r="F29" s="782"/>
      <c r="G29" s="782"/>
      <c r="H29" s="782"/>
      <c r="I29" s="795" t="str">
        <f t="shared" si="0"/>
        <v>-</v>
      </c>
      <c r="J29" s="795"/>
      <c r="K29" s="795"/>
    </row>
    <row r="30" spans="1:11" ht="13.5" customHeight="1">
      <c r="A30" s="18">
        <v>7</v>
      </c>
      <c r="B30" s="793">
        <f>'G.A. 55'!R14</f>
        <v>0</v>
      </c>
      <c r="C30" s="793"/>
      <c r="D30" s="368"/>
      <c r="E30" s="368"/>
      <c r="F30" s="782"/>
      <c r="G30" s="782"/>
      <c r="H30" s="782"/>
      <c r="I30" s="795" t="str">
        <f t="shared" si="0"/>
        <v>-</v>
      </c>
      <c r="J30" s="795"/>
      <c r="K30" s="795"/>
    </row>
    <row r="31" spans="1:11" ht="13.5" customHeight="1">
      <c r="A31" s="18">
        <v>8</v>
      </c>
      <c r="B31" s="793">
        <f>'G.A. 55'!R15</f>
        <v>0</v>
      </c>
      <c r="C31" s="793"/>
      <c r="D31" s="368"/>
      <c r="E31" s="368"/>
      <c r="F31" s="782"/>
      <c r="G31" s="782"/>
      <c r="H31" s="782"/>
      <c r="I31" s="795" t="str">
        <f t="shared" si="0"/>
        <v>-</v>
      </c>
      <c r="J31" s="795"/>
      <c r="K31" s="795"/>
    </row>
    <row r="32" spans="1:11" ht="13.5" customHeight="1">
      <c r="A32" s="18">
        <v>9</v>
      </c>
      <c r="B32" s="793">
        <f>'G.A. 55'!R16</f>
        <v>0</v>
      </c>
      <c r="C32" s="793"/>
      <c r="D32" s="368"/>
      <c r="E32" s="368"/>
      <c r="F32" s="782"/>
      <c r="G32" s="782"/>
      <c r="H32" s="782"/>
      <c r="I32" s="795" t="str">
        <f t="shared" si="0"/>
        <v>-</v>
      </c>
      <c r="J32" s="795"/>
      <c r="K32" s="795"/>
    </row>
    <row r="33" spans="1:11" ht="13.5" customHeight="1">
      <c r="A33" s="18">
        <v>10</v>
      </c>
      <c r="B33" s="793">
        <f>'G.A. 55'!R17</f>
        <v>0</v>
      </c>
      <c r="C33" s="793"/>
      <c r="D33" s="368"/>
      <c r="E33" s="368"/>
      <c r="F33" s="782"/>
      <c r="G33" s="782"/>
      <c r="H33" s="782"/>
      <c r="I33" s="795" t="str">
        <f t="shared" si="0"/>
        <v>-</v>
      </c>
      <c r="J33" s="795"/>
      <c r="K33" s="795"/>
    </row>
    <row r="34" spans="1:11" ht="13.5" customHeight="1">
      <c r="A34" s="18">
        <v>11</v>
      </c>
      <c r="B34" s="793">
        <f>'G.A. 55'!R18</f>
        <v>0</v>
      </c>
      <c r="C34" s="793"/>
      <c r="D34" s="368"/>
      <c r="E34" s="368"/>
      <c r="F34" s="782"/>
      <c r="G34" s="782"/>
      <c r="H34" s="782"/>
      <c r="I34" s="795" t="str">
        <f t="shared" si="0"/>
        <v>-</v>
      </c>
      <c r="J34" s="795"/>
      <c r="K34" s="795"/>
    </row>
    <row r="35" spans="1:11" ht="13.5" customHeight="1">
      <c r="A35" s="18">
        <v>12</v>
      </c>
      <c r="B35" s="793">
        <f>'G.A. 55'!R19</f>
        <v>0</v>
      </c>
      <c r="C35" s="793"/>
      <c r="D35" s="368"/>
      <c r="E35" s="368"/>
      <c r="F35" s="782"/>
      <c r="G35" s="782"/>
      <c r="H35" s="782"/>
      <c r="I35" s="795" t="str">
        <f t="shared" si="0"/>
        <v>-</v>
      </c>
      <c r="J35" s="795"/>
      <c r="K35" s="795"/>
    </row>
    <row r="36" spans="1:11" ht="13.5" customHeight="1">
      <c r="A36" s="18">
        <v>13</v>
      </c>
      <c r="B36" s="793">
        <f>'G.A. 55'!R20</f>
        <v>0</v>
      </c>
      <c r="C36" s="793"/>
      <c r="D36" s="19"/>
      <c r="E36" s="19"/>
      <c r="F36" s="794"/>
      <c r="G36" s="794"/>
      <c r="H36" s="794"/>
      <c r="I36" s="795" t="str">
        <f t="shared" si="0"/>
        <v>-</v>
      </c>
      <c r="J36" s="795"/>
      <c r="K36" s="795"/>
    </row>
    <row r="37" spans="1:11" ht="13.5" hidden="1" customHeight="1">
      <c r="A37" s="18">
        <v>14</v>
      </c>
      <c r="B37" s="793">
        <f>'G.A. 55'!R24+'G.A. 55'!R25</f>
        <v>0</v>
      </c>
      <c r="C37" s="793"/>
      <c r="D37" s="19"/>
      <c r="E37" s="19"/>
      <c r="F37" s="794"/>
      <c r="G37" s="794"/>
      <c r="H37" s="794"/>
      <c r="I37" s="795" t="str">
        <f t="shared" si="0"/>
        <v>-</v>
      </c>
      <c r="J37" s="795"/>
      <c r="K37" s="795"/>
    </row>
    <row r="38" spans="1:11" ht="14.25" customHeight="1">
      <c r="A38" s="21" t="s">
        <v>4</v>
      </c>
      <c r="B38" s="792">
        <f>SUM(B24:B37)</f>
        <v>0</v>
      </c>
      <c r="C38" s="792"/>
      <c r="D38" s="777"/>
      <c r="E38" s="778"/>
      <c r="F38" s="778"/>
      <c r="G38" s="778"/>
      <c r="H38" s="778"/>
      <c r="I38" s="778"/>
      <c r="J38" s="778"/>
      <c r="K38" s="779"/>
    </row>
    <row r="39" spans="1:11" ht="12.75" customHeight="1">
      <c r="A39" s="734" t="s">
        <v>73</v>
      </c>
      <c r="B39" s="734"/>
      <c r="C39" s="734"/>
      <c r="D39" s="734"/>
      <c r="E39" s="734"/>
      <c r="F39" s="734"/>
      <c r="G39" s="734"/>
      <c r="H39" s="734"/>
      <c r="I39" s="734"/>
      <c r="J39" s="734"/>
      <c r="K39" s="734"/>
    </row>
    <row r="40" spans="1:11" ht="12.75" customHeight="1">
      <c r="A40" s="785" t="s">
        <v>74</v>
      </c>
      <c r="B40" s="786"/>
      <c r="C40" s="786"/>
      <c r="D40" s="786"/>
      <c r="E40" s="786"/>
      <c r="F40" s="786"/>
      <c r="G40" s="786"/>
      <c r="H40" s="786"/>
      <c r="I40" s="786"/>
      <c r="J40" s="786"/>
      <c r="K40" s="787"/>
    </row>
    <row r="41" spans="1:11" ht="12.75" customHeight="1">
      <c r="A41" s="788" t="s">
        <v>67</v>
      </c>
      <c r="B41" s="789" t="s">
        <v>211</v>
      </c>
      <c r="C41" s="789"/>
      <c r="D41" s="788" t="s">
        <v>75</v>
      </c>
      <c r="E41" s="788"/>
      <c r="F41" s="788"/>
      <c r="G41" s="788"/>
      <c r="H41" s="788"/>
      <c r="I41" s="788"/>
      <c r="J41" s="788"/>
      <c r="K41" s="788"/>
    </row>
    <row r="42" spans="1:11" ht="33" customHeight="1">
      <c r="A42" s="788"/>
      <c r="B42" s="789"/>
      <c r="C42" s="789"/>
      <c r="D42" s="788" t="s">
        <v>76</v>
      </c>
      <c r="E42" s="788"/>
      <c r="F42" s="790" t="s">
        <v>77</v>
      </c>
      <c r="G42" s="791"/>
      <c r="H42" s="788" t="s">
        <v>78</v>
      </c>
      <c r="I42" s="788"/>
      <c r="J42" s="788" t="s">
        <v>79</v>
      </c>
      <c r="K42" s="788"/>
    </row>
    <row r="43" spans="1:11" ht="13.5" customHeight="1">
      <c r="A43" s="20">
        <v>1</v>
      </c>
      <c r="B43" s="781"/>
      <c r="C43" s="781"/>
      <c r="D43" s="782"/>
      <c r="E43" s="782"/>
      <c r="F43" s="783"/>
      <c r="G43" s="783"/>
      <c r="H43" s="784"/>
      <c r="I43" s="784"/>
      <c r="J43" s="783"/>
      <c r="K43" s="783"/>
    </row>
    <row r="44" spans="1:11" ht="13.5" customHeight="1">
      <c r="A44" s="20">
        <v>2</v>
      </c>
      <c r="B44" s="781"/>
      <c r="C44" s="781"/>
      <c r="D44" s="782"/>
      <c r="E44" s="782"/>
      <c r="F44" s="783"/>
      <c r="G44" s="783"/>
      <c r="H44" s="784"/>
      <c r="I44" s="784"/>
      <c r="J44" s="783"/>
      <c r="K44" s="783"/>
    </row>
    <row r="45" spans="1:11" ht="13.5" customHeight="1">
      <c r="A45" s="20">
        <v>3</v>
      </c>
      <c r="B45" s="781"/>
      <c r="C45" s="781"/>
      <c r="D45" s="782"/>
      <c r="E45" s="782"/>
      <c r="F45" s="783"/>
      <c r="G45" s="783"/>
      <c r="H45" s="784"/>
      <c r="I45" s="784"/>
      <c r="J45" s="783"/>
      <c r="K45" s="783"/>
    </row>
    <row r="46" spans="1:11" ht="13.5" customHeight="1">
      <c r="A46" s="20">
        <v>4</v>
      </c>
      <c r="B46" s="781"/>
      <c r="C46" s="781"/>
      <c r="D46" s="782"/>
      <c r="E46" s="782"/>
      <c r="F46" s="783"/>
      <c r="G46" s="783"/>
      <c r="H46" s="784"/>
      <c r="I46" s="784"/>
      <c r="J46" s="783"/>
      <c r="K46" s="783"/>
    </row>
    <row r="47" spans="1:11" ht="13.5" customHeight="1">
      <c r="A47" s="20">
        <v>5</v>
      </c>
      <c r="B47" s="781"/>
      <c r="C47" s="781"/>
      <c r="D47" s="782"/>
      <c r="E47" s="782"/>
      <c r="F47" s="783"/>
      <c r="G47" s="783"/>
      <c r="H47" s="784"/>
      <c r="I47" s="784"/>
      <c r="J47" s="783"/>
      <c r="K47" s="783"/>
    </row>
    <row r="48" spans="1:11" ht="13.5" customHeight="1">
      <c r="A48" s="20">
        <v>6</v>
      </c>
      <c r="B48" s="781"/>
      <c r="C48" s="781"/>
      <c r="D48" s="782"/>
      <c r="E48" s="782"/>
      <c r="F48" s="783"/>
      <c r="G48" s="783"/>
      <c r="H48" s="784"/>
      <c r="I48" s="784"/>
      <c r="J48" s="783"/>
      <c r="K48" s="783"/>
    </row>
    <row r="49" spans="1:11" ht="13.5" customHeight="1">
      <c r="A49" s="20">
        <v>7</v>
      </c>
      <c r="B49" s="781"/>
      <c r="C49" s="781"/>
      <c r="D49" s="782"/>
      <c r="E49" s="782"/>
      <c r="F49" s="783"/>
      <c r="G49" s="783"/>
      <c r="H49" s="784"/>
      <c r="I49" s="784"/>
      <c r="J49" s="783"/>
      <c r="K49" s="783"/>
    </row>
    <row r="50" spans="1:11" ht="13.5" customHeight="1">
      <c r="A50" s="20">
        <v>8</v>
      </c>
      <c r="B50" s="781"/>
      <c r="C50" s="781"/>
      <c r="D50" s="782"/>
      <c r="E50" s="782"/>
      <c r="F50" s="783"/>
      <c r="G50" s="783"/>
      <c r="H50" s="784"/>
      <c r="I50" s="784"/>
      <c r="J50" s="783"/>
      <c r="K50" s="783"/>
    </row>
    <row r="51" spans="1:11" ht="13.5" customHeight="1">
      <c r="A51" s="20">
        <v>9</v>
      </c>
      <c r="B51" s="781"/>
      <c r="C51" s="781"/>
      <c r="D51" s="782"/>
      <c r="E51" s="782"/>
      <c r="F51" s="783"/>
      <c r="G51" s="783"/>
      <c r="H51" s="784"/>
      <c r="I51" s="784"/>
      <c r="J51" s="783"/>
      <c r="K51" s="783"/>
    </row>
    <row r="52" spans="1:11" ht="13.5" customHeight="1">
      <c r="A52" s="20">
        <v>10</v>
      </c>
      <c r="B52" s="781"/>
      <c r="C52" s="781"/>
      <c r="D52" s="782"/>
      <c r="E52" s="782"/>
      <c r="F52" s="783"/>
      <c r="G52" s="783"/>
      <c r="H52" s="784"/>
      <c r="I52" s="784"/>
      <c r="J52" s="783"/>
      <c r="K52" s="783"/>
    </row>
    <row r="53" spans="1:11" ht="13.5" customHeight="1">
      <c r="A53" s="20">
        <v>11</v>
      </c>
      <c r="B53" s="781"/>
      <c r="C53" s="781"/>
      <c r="D53" s="782"/>
      <c r="E53" s="782"/>
      <c r="F53" s="783"/>
      <c r="G53" s="783"/>
      <c r="H53" s="784"/>
      <c r="I53" s="784"/>
      <c r="J53" s="783"/>
      <c r="K53" s="783"/>
    </row>
    <row r="54" spans="1:11" ht="13.5" customHeight="1">
      <c r="A54" s="20">
        <v>12</v>
      </c>
      <c r="B54" s="781"/>
      <c r="C54" s="781"/>
      <c r="D54" s="782"/>
      <c r="E54" s="782"/>
      <c r="F54" s="783"/>
      <c r="G54" s="783"/>
      <c r="H54" s="784"/>
      <c r="I54" s="784"/>
      <c r="J54" s="783"/>
      <c r="K54" s="783"/>
    </row>
    <row r="55" spans="1:11" ht="13.5" customHeight="1">
      <c r="A55" s="20">
        <v>13</v>
      </c>
      <c r="B55" s="781"/>
      <c r="C55" s="781"/>
      <c r="D55" s="782"/>
      <c r="E55" s="782"/>
      <c r="F55" s="783"/>
      <c r="G55" s="783"/>
      <c r="H55" s="784"/>
      <c r="I55" s="784"/>
      <c r="J55" s="783"/>
      <c r="K55" s="783"/>
    </row>
    <row r="56" spans="1:11" ht="13.5" hidden="1" customHeight="1">
      <c r="A56" s="20">
        <v>14</v>
      </c>
      <c r="B56" s="781"/>
      <c r="C56" s="781"/>
      <c r="D56" s="782"/>
      <c r="E56" s="782"/>
      <c r="F56" s="783"/>
      <c r="G56" s="783"/>
      <c r="H56" s="784"/>
      <c r="I56" s="784"/>
      <c r="J56" s="783"/>
      <c r="K56" s="783"/>
    </row>
    <row r="57" spans="1:11" ht="18" customHeight="1">
      <c r="A57" s="376" t="s">
        <v>4</v>
      </c>
      <c r="B57" s="776">
        <f>SUM(B43:B56)</f>
        <v>0</v>
      </c>
      <c r="C57" s="776"/>
      <c r="D57" s="777"/>
      <c r="E57" s="778"/>
      <c r="F57" s="778"/>
      <c r="G57" s="778"/>
      <c r="H57" s="778"/>
      <c r="I57" s="778"/>
      <c r="J57" s="778"/>
      <c r="K57" s="779"/>
    </row>
    <row r="58" spans="1:11" s="78" customFormat="1" ht="19.5" customHeight="1">
      <c r="A58" s="777" t="s">
        <v>226</v>
      </c>
      <c r="B58" s="778"/>
      <c r="C58" s="778"/>
      <c r="D58" s="778"/>
      <c r="E58" s="778"/>
      <c r="F58" s="778"/>
      <c r="G58" s="778"/>
      <c r="H58" s="778"/>
      <c r="I58" s="778"/>
      <c r="J58" s="778"/>
      <c r="K58" s="779"/>
    </row>
    <row r="59" spans="1:11" ht="15.75">
      <c r="A59" s="653" t="s">
        <v>30</v>
      </c>
      <c r="B59" s="653"/>
      <c r="C59" s="653"/>
      <c r="D59" s="653"/>
      <c r="E59" s="653"/>
      <c r="F59" s="653"/>
      <c r="G59" s="653"/>
      <c r="H59" s="653"/>
      <c r="I59" s="653"/>
      <c r="J59" s="653"/>
      <c r="K59" s="653"/>
    </row>
    <row r="60" spans="1:11" ht="18.75" customHeight="1">
      <c r="A60" s="104" t="s">
        <v>80</v>
      </c>
      <c r="B60" s="770" t="str">
        <f>A6&amp;","</f>
        <v>ALTAF AHAMAD KHAN,</v>
      </c>
      <c r="C60" s="770"/>
      <c r="D60" s="770"/>
      <c r="E60" s="191" t="s">
        <v>208</v>
      </c>
      <c r="F60" s="780">
        <f>Home!J15</f>
        <v>0</v>
      </c>
      <c r="G60" s="780"/>
      <c r="H60" s="780"/>
      <c r="I60" s="780"/>
      <c r="J60" s="771" t="s">
        <v>81</v>
      </c>
      <c r="K60" s="772"/>
    </row>
    <row r="61" spans="1:11">
      <c r="A61" s="773" t="s">
        <v>82</v>
      </c>
      <c r="B61" s="774"/>
      <c r="C61" s="774" t="str">
        <f>Home!J10</f>
        <v>HEADMASTER</v>
      </c>
      <c r="D61" s="774"/>
      <c r="E61" s="774"/>
      <c r="F61" s="723" t="s">
        <v>83</v>
      </c>
      <c r="G61" s="723"/>
      <c r="H61" s="723"/>
      <c r="I61" s="723"/>
      <c r="J61" s="723"/>
      <c r="K61" s="775"/>
    </row>
    <row r="62" spans="1:11">
      <c r="A62" s="105" t="s">
        <v>19</v>
      </c>
      <c r="B62" s="103">
        <f>I19</f>
        <v>0</v>
      </c>
      <c r="C62" s="761" t="str">
        <f>IF(OR(LEN(FLOOR(B62,1))=13,FLOOR(B62,1)&lt;=0),"Out of range",PROPER(SUBSTITUTE(CONCATENATE(CHOOSE(MID(TEXT(INT(B62),REPT(0,12)),1,1)+1,"","one hundred ","two hundred ","three hundred ","four hundred ","five hundred ","six hundred ","seven hundred ","eight hundred ","nine hundred "),CHOOSE(MID(TEXT(INT(B62),REPT(0,12)),2,1)+1,"",CHOOSE(MID(TEXT(INT(B62),REPT(0,12)),3,1)+1,"ten","eleven","twelve","thirteen","fourteen","fifteen","sixteen","seventeen","eighteen","nineteen"),"twenty","thirty","forty","fifty","sixty","seventy","eighty","ninety"),IF(VALUE(MID(TEXT(INT(B62),REPT(0,12)),2,1))&gt;1,CHOOSE(MID(TEXT(INT(B62),REPT(0,12)),3,1)+1,"","-one","-two","-three","-four","-five","-six","-seven","-eight","-nine"),IF(VALUE(MID(TEXT(INT(B62),REPT(0,12)),2,1))=0,CHOOSE(MID(TEXT(INT(B62),REPT(0,12)),3,1)+1,"","one","two","three","four","five","six","seven","eight","nine"),"")),IF(B62&gt;=10^9," billion ",""),CHOOSE(MID(TEXT(INT(B62),REPT(0,12)),4,1)+1,"","one hundred ","two hundred ","three hundred ","four hundred ","five hundred ","six hundred ","seven hundred ","eight hundred ","nine hundred "),CHOOSE(MID(TEXT(INT(B62),REPT(0,12)),5,1)+1,"",CHOOSE(MID(TEXT(INT(B62),REPT(0,12)),6,1)+1,"ten","eleven","twelve","thirteen","fourteen","fifteen","sixteen","seventeen","eighteen","nineteen"),"twenty","thirty","forty","fifty","sixty","seventy","eighty","ninety"),IF(VALUE(MID(TEXT(INT(B62),REPT(0,12)),5,1))&gt;1,CHOOSE(MID(TEXT(INT(B62),REPT(0,12)),6,1)+1,"","-one","-two","-three","-four","-five","-six","-seven","-eight","-nine"),IF(VALUE(MID(TEXT(INT(B62),REPT(0,12)),5,1))=0,CHOOSE(MID(TEXT(INT(B62),REPT(0,12)),6,1)+1,"","one","two","three","four","five","six","seven","eight","nine"),"")),IF(VALUE(MID(TEXT(INT(B62),REPT(0,12)),4,3))&gt;0," million ",""),CHOOSE(MID(TEXT(INT(B62),REPT(0,12)),7,1)+1,"","one hundred ","two hundred ","three hundred ","four hundred ","five hundred ","six hundred ","seven hundred ","eight hundred ","nine hundred "),CHOOSE(MID(TEXT(INT(B62),REPT(0,12)),8,1)+1,"",CHOOSE(MID(TEXT(INT(B62),REPT(0,12)),9,1)+1,"ten","eleven","twelve","thirteen","fourteen","fifteen","sixteen","seventeen","eighteen","nineteen"),"twenty","thirty","forty","fifty","sixty","seventy","eighty","ninety"),IF(VALUE(MID(TEXT(INT(B62),REPT(0,12)),8,1))&gt;1,CHOOSE(MID(TEXT(INT(B62),REPT(0,12)),9,1)+1,"","-one","-two","-three","-four","-five","-six","-seven","-eight","-nine"),IF(VALUE(MID(TEXT(INT(B62),REPT(0,12)),8,1))=0,CHOOSE(MID(TEXT(INT(B62),REPT(0,12)),9,1)+1,"","one","two","three","four","five","six","seven","eight","nine"),"")),IF(VALUE(MID(TEXT(INT(B62),REPT(0,12)),7,3))," thousand ",""),CHOOSE(MID(TEXT(INT(B62),REPT(0,12)),10,1)+1,"","one hundred ","two hundred ","three hundred ","four hundred ","five hundred ","six hundred ","seven hundred ","eight hundred ","nine hundred "),CHOOSE(MID(TEXT(INT(B62),REPT(0,12)),11,1)+1,"",CHOOSE(MID(TEXT(INT(B62),REPT(0,12)),12,1)+1,"ten","eleven","twelve","thirteen","fourteen","fifteen","sixteen","seventeen","eighteen","nineteen"),"twenty","thirty","forty","fifty","sixty","seventy","eighty","ninety"),IF(VALUE(MID(TEXT(INT(B62),REPT(0,12)),11,1))&gt;1,CHOOSE(MID(TEXT(INT(B62),REPT(0,12)),12,1)+1,"","-one","-two","-three","-four","-five","-six","-seven","-eight","-nine"),IF(VALUE(MID(TEXT(INT(B62),REPT(0,12)),11,1))=0,CHOOSE(MID(TEXT(INT(B62),REPT(0,12)),12,1)+1,"","one","two","three","four","five","six","seven","eight","nine"),""))),"  "," ")&amp;IF(FLOOR(B62,1)&gt;1," Rupees"," Rupees"))&amp;IF(ISERROR(FIND(".",B62,1)),""," and "&amp;PROPER(IF(LEN(LEFT(TRIM(MID(SUBSTITUTE('16NO'!$B$62,".",REPT(" ",255)),255,200)),2))=1,CHOOSE(1*LEFT(TRIM(MID(SUBSTITUTE('16NO'!$B$62,".",REPT(" ",255)),255,200)),2),"ten","twenty","thirty","forty","fifty","sixty","seventy","eighty","ninety")&amp;" Paise","")&amp;CONCATENATE(CHOOSE(MID(TEXT(INT(LEFT(TRIM(MID(SUBSTITUTE('16NO'!$B$62,".",REPT(" ",255)),255,200)),2)),REPT(0,12)),11,1)+1,"",CHOOSE(MID(TEXT(INT(LEFT(TRIM(MID(SUBSTITUTE('16NO'!$B$62,".",REPT(" ",255)),255,200)),2)),REPT(0,12)),12,1)+1,"ten","eleven","twelve","thirteen","fourteen","fifteen","sixteen","seventeen","eighteen","nineteen"),"twenty","thirty","forty","fifty","sixty","seventy","eighty","ninety"),IF(VALUE(MID(TEXT(INT(LEFT(TRIM(MID(SUBSTITUTE('16NO'!$B$62,".",REPT(" ",255)),255,200)),2)),REPT(0,12)),11,1))&gt;1,CHOOSE(MID(TEXT(INT(LEFT(TRIM(MID(SUBSTITUTE('16NO'!$B$62,".",REPT(" ",255)),255,200)),2)),REPT(0,12)),12,1)+1,"","-one","-two","-three","-four","-five","-six","-seven","-eight","-nine")&amp;" Paise",IF(LEFT(TRIM(MID(SUBSTITUTE('16NO'!$B$62,".",REPT(" ",255)),255,200)),2)="01","one Paise",IF(LEFT(TRIM(MID(SUBSTITUTE('16NO'!$B$62,".",REPT(" ",255)),255,200)),1)="0",CHOOSE(MID(TEXT(INT(LEFT(TRIM(MID(SUBSTITUTE('16NO'!$B$62,".",REPT(" ",255)),255,200)),2)),REPT(0,12)),12,1)+1,"","one","two","three","four","five","six","seven","eight","nine")&amp;" Paise","")))))))</f>
        <v>Out of range</v>
      </c>
      <c r="D62" s="761"/>
      <c r="E62" s="761"/>
      <c r="F62" s="761"/>
      <c r="G62" s="761"/>
      <c r="H62" s="762" t="s">
        <v>85</v>
      </c>
      <c r="I62" s="762"/>
      <c r="J62" s="762"/>
      <c r="K62" s="763"/>
    </row>
    <row r="63" spans="1:11">
      <c r="A63" s="764" t="s">
        <v>86</v>
      </c>
      <c r="B63" s="762"/>
      <c r="C63" s="762"/>
      <c r="D63" s="762"/>
      <c r="E63" s="762"/>
      <c r="F63" s="762"/>
      <c r="G63" s="762"/>
      <c r="H63" s="762"/>
      <c r="I63" s="762"/>
      <c r="J63" s="762"/>
      <c r="K63" s="763"/>
    </row>
    <row r="64" spans="1:11">
      <c r="A64" s="765" t="s">
        <v>227</v>
      </c>
      <c r="B64" s="766"/>
      <c r="C64" s="766"/>
      <c r="D64" s="766"/>
      <c r="E64" s="766"/>
      <c r="F64" s="766"/>
      <c r="G64" s="766"/>
      <c r="H64" s="766"/>
      <c r="I64" s="766"/>
      <c r="J64" s="766"/>
      <c r="K64" s="767"/>
    </row>
    <row r="65" spans="1:11" ht="30" customHeight="1">
      <c r="A65" s="768" t="s">
        <v>31</v>
      </c>
      <c r="B65" s="768"/>
      <c r="C65" s="769">
        <f>Home!J17</f>
        <v>0</v>
      </c>
      <c r="D65" s="769"/>
      <c r="E65" s="641"/>
      <c r="F65" s="641"/>
      <c r="G65" s="641"/>
      <c r="H65" s="641"/>
      <c r="I65" s="641"/>
      <c r="J65" s="641"/>
      <c r="K65" s="641"/>
    </row>
    <row r="66" spans="1:11">
      <c r="A66" s="641" t="s">
        <v>32</v>
      </c>
      <c r="B66" s="641"/>
      <c r="C66" s="654">
        <f ca="1">TODAY()</f>
        <v>43031</v>
      </c>
      <c r="D66" s="654"/>
      <c r="E66" s="758" t="s">
        <v>33</v>
      </c>
      <c r="F66" s="758"/>
      <c r="G66" s="758"/>
      <c r="H66" s="758"/>
      <c r="I66" s="758"/>
      <c r="J66" s="758"/>
      <c r="K66" s="759"/>
    </row>
    <row r="67" spans="1:11">
      <c r="A67" s="641" t="s">
        <v>87</v>
      </c>
      <c r="B67" s="641"/>
      <c r="C67" s="641" t="str">
        <f>Home!J10</f>
        <v>HEADMASTER</v>
      </c>
      <c r="D67" s="641"/>
      <c r="E67" s="23" t="s">
        <v>88</v>
      </c>
      <c r="F67" s="641" t="str">
        <f>A6</f>
        <v>ALTAF AHAMAD KHAN</v>
      </c>
      <c r="G67" s="641"/>
      <c r="H67" s="641"/>
      <c r="I67" s="641"/>
      <c r="J67" s="641"/>
      <c r="K67" s="641"/>
    </row>
    <row r="68" spans="1:11">
      <c r="A68" s="760" t="s">
        <v>89</v>
      </c>
      <c r="B68" s="760"/>
      <c r="C68" s="760"/>
      <c r="D68" s="760"/>
      <c r="E68" s="760"/>
      <c r="F68" s="760"/>
      <c r="G68" s="760"/>
      <c r="H68" s="760"/>
      <c r="I68" s="760"/>
      <c r="J68" s="760"/>
      <c r="K68" s="760"/>
    </row>
    <row r="69" spans="1:11">
      <c r="A69" s="733" t="s">
        <v>90</v>
      </c>
      <c r="B69" s="733"/>
      <c r="C69" s="733"/>
      <c r="D69" s="733"/>
      <c r="E69" s="733"/>
      <c r="F69" s="734"/>
      <c r="G69" s="734"/>
      <c r="H69" s="734"/>
      <c r="I69" s="734"/>
      <c r="J69" s="734"/>
      <c r="K69" s="734"/>
    </row>
    <row r="70" spans="1:11">
      <c r="A70" s="673" t="s">
        <v>91</v>
      </c>
      <c r="B70" s="673"/>
      <c r="C70" s="673"/>
      <c r="D70" s="673"/>
      <c r="E70" s="673"/>
      <c r="F70" s="735"/>
      <c r="G70" s="736"/>
      <c r="H70" s="721"/>
      <c r="I70" s="737"/>
      <c r="J70" s="709"/>
      <c r="K70" s="709"/>
    </row>
    <row r="71" spans="1:11">
      <c r="A71" s="652" t="s">
        <v>92</v>
      </c>
      <c r="B71" s="652"/>
      <c r="C71" s="652"/>
      <c r="D71" s="652"/>
      <c r="E71" s="652"/>
      <c r="F71" s="738">
        <f>COMPUTATION!M4</f>
        <v>603964</v>
      </c>
      <c r="G71" s="712"/>
      <c r="H71" s="721"/>
      <c r="I71" s="737"/>
      <c r="J71" s="709"/>
      <c r="K71" s="709"/>
    </row>
    <row r="72" spans="1:11" ht="24" customHeight="1">
      <c r="A72" s="739" t="s">
        <v>93</v>
      </c>
      <c r="B72" s="739"/>
      <c r="C72" s="739"/>
      <c r="D72" s="739"/>
      <c r="E72" s="739"/>
      <c r="F72" s="738"/>
      <c r="G72" s="712"/>
      <c r="H72" s="721"/>
      <c r="I72" s="737"/>
      <c r="J72" s="709"/>
      <c r="K72" s="709"/>
    </row>
    <row r="73" spans="1:11" ht="27.75" customHeight="1">
      <c r="A73" s="739" t="s">
        <v>94</v>
      </c>
      <c r="B73" s="739"/>
      <c r="C73" s="739"/>
      <c r="D73" s="739"/>
      <c r="E73" s="739"/>
      <c r="F73" s="726">
        <v>0</v>
      </c>
      <c r="G73" s="727"/>
      <c r="H73" s="721"/>
      <c r="I73" s="737"/>
      <c r="J73" s="709"/>
      <c r="K73" s="709"/>
    </row>
    <row r="74" spans="1:11" ht="18" customHeight="1">
      <c r="A74" s="673" t="s">
        <v>200</v>
      </c>
      <c r="B74" s="673"/>
      <c r="C74" s="673"/>
      <c r="D74" s="673"/>
      <c r="E74" s="673"/>
      <c r="F74" s="744"/>
      <c r="G74" s="745"/>
      <c r="H74" s="687">
        <f>F71+F72+F73</f>
        <v>603964</v>
      </c>
      <c r="I74" s="751"/>
      <c r="J74" s="709"/>
      <c r="K74" s="709"/>
    </row>
    <row r="75" spans="1:11" ht="22.5" customHeight="1">
      <c r="A75" s="739" t="s">
        <v>95</v>
      </c>
      <c r="B75" s="739"/>
      <c r="C75" s="739"/>
      <c r="D75" s="739"/>
      <c r="E75" s="739"/>
      <c r="F75" s="746"/>
      <c r="G75" s="747"/>
      <c r="H75" s="752"/>
      <c r="I75" s="753"/>
      <c r="J75" s="709"/>
      <c r="K75" s="709"/>
    </row>
    <row r="76" spans="1:11">
      <c r="A76" s="710" t="s">
        <v>25</v>
      </c>
      <c r="B76" s="710"/>
      <c r="C76" s="710"/>
      <c r="D76" s="710" t="s">
        <v>19</v>
      </c>
      <c r="E76" s="710"/>
      <c r="F76" s="748"/>
      <c r="G76" s="747"/>
      <c r="H76" s="754"/>
      <c r="I76" s="755"/>
      <c r="J76" s="709"/>
      <c r="K76" s="709"/>
    </row>
    <row r="77" spans="1:11">
      <c r="A77" s="711" t="s">
        <v>39</v>
      </c>
      <c r="B77" s="711"/>
      <c r="C77" s="711"/>
      <c r="D77" s="22">
        <f>IF(E77="0","",'G.A. 55'!E26)</f>
        <v>21912</v>
      </c>
      <c r="E77" s="54">
        <f>Home!D21</f>
        <v>7702</v>
      </c>
      <c r="F77" s="749"/>
      <c r="G77" s="750"/>
      <c r="H77" s="754"/>
      <c r="I77" s="755"/>
      <c r="J77" s="709"/>
      <c r="K77" s="709"/>
    </row>
    <row r="78" spans="1:11">
      <c r="A78" s="724" t="s">
        <v>463</v>
      </c>
      <c r="B78" s="724"/>
      <c r="C78" s="724"/>
      <c r="D78" s="106"/>
      <c r="E78" s="253">
        <f>Home!D23</f>
        <v>0</v>
      </c>
      <c r="F78" s="712">
        <f>E77+E78</f>
        <v>7702</v>
      </c>
      <c r="G78" s="712"/>
      <c r="H78" s="756"/>
      <c r="I78" s="757"/>
      <c r="J78" s="709"/>
      <c r="K78" s="709"/>
    </row>
    <row r="79" spans="1:11">
      <c r="A79" s="673" t="s">
        <v>96</v>
      </c>
      <c r="B79" s="673"/>
      <c r="C79" s="673"/>
      <c r="D79" s="673"/>
      <c r="E79" s="673"/>
      <c r="F79" s="740"/>
      <c r="G79" s="741"/>
      <c r="H79" s="687">
        <f>H74-F78</f>
        <v>596262</v>
      </c>
      <c r="I79" s="687"/>
      <c r="J79" s="709"/>
      <c r="K79" s="709"/>
    </row>
    <row r="80" spans="1:11" ht="13.5" customHeight="1">
      <c r="A80" s="652" t="s">
        <v>97</v>
      </c>
      <c r="B80" s="652"/>
      <c r="C80" s="652"/>
      <c r="D80" s="652"/>
      <c r="E80" s="652"/>
      <c r="F80" s="742"/>
      <c r="G80" s="743"/>
      <c r="H80" s="60"/>
      <c r="I80" s="61"/>
      <c r="J80" s="709"/>
      <c r="K80" s="709"/>
    </row>
    <row r="81" spans="1:11" ht="13.5" customHeight="1">
      <c r="A81" s="725" t="s">
        <v>98</v>
      </c>
      <c r="B81" s="725"/>
      <c r="C81" s="652" t="s">
        <v>99</v>
      </c>
      <c r="D81" s="652"/>
      <c r="E81" s="652"/>
      <c r="F81" s="740">
        <f>COMPUTATION!M7</f>
        <v>0</v>
      </c>
      <c r="G81" s="741"/>
      <c r="H81" s="60"/>
      <c r="I81" s="61"/>
      <c r="J81" s="709"/>
      <c r="K81" s="709"/>
    </row>
    <row r="82" spans="1:11" ht="13.5" customHeight="1">
      <c r="A82" s="725" t="s">
        <v>100</v>
      </c>
      <c r="B82" s="725"/>
      <c r="C82" s="652" t="s">
        <v>101</v>
      </c>
      <c r="D82" s="652"/>
      <c r="E82" s="652"/>
      <c r="F82" s="726">
        <v>0</v>
      </c>
      <c r="G82" s="727"/>
      <c r="H82" s="62"/>
      <c r="I82" s="63"/>
      <c r="J82" s="709"/>
      <c r="K82" s="709"/>
    </row>
    <row r="83" spans="1:11" ht="13.5" customHeight="1">
      <c r="A83" s="652" t="s">
        <v>217</v>
      </c>
      <c r="B83" s="652"/>
      <c r="C83" s="652"/>
      <c r="D83" s="652"/>
      <c r="E83" s="652"/>
      <c r="F83" s="728"/>
      <c r="G83" s="728"/>
      <c r="H83" s="712">
        <f>F81+F82</f>
        <v>0</v>
      </c>
      <c r="I83" s="717"/>
      <c r="J83" s="709"/>
      <c r="K83" s="709"/>
    </row>
    <row r="84" spans="1:11" ht="13.5" customHeight="1">
      <c r="A84" s="673" t="s">
        <v>102</v>
      </c>
      <c r="B84" s="673"/>
      <c r="C84" s="673"/>
      <c r="D84" s="673"/>
      <c r="E84" s="673"/>
      <c r="F84" s="729"/>
      <c r="G84" s="729"/>
      <c r="H84" s="718"/>
      <c r="I84" s="718"/>
      <c r="J84" s="707">
        <f>H79-H83</f>
        <v>596262</v>
      </c>
      <c r="K84" s="708"/>
    </row>
    <row r="85" spans="1:11" ht="13.5" customHeight="1">
      <c r="A85" s="673" t="s">
        <v>103</v>
      </c>
      <c r="B85" s="673"/>
      <c r="C85" s="673"/>
      <c r="D85" s="673"/>
      <c r="E85" s="673"/>
      <c r="F85" s="729"/>
      <c r="G85" s="729"/>
      <c r="H85" s="718"/>
      <c r="I85" s="718"/>
      <c r="J85" s="709"/>
      <c r="K85" s="709"/>
    </row>
    <row r="86" spans="1:11" ht="13.5" customHeight="1">
      <c r="A86" s="710" t="s">
        <v>26</v>
      </c>
      <c r="B86" s="710"/>
      <c r="C86" s="710"/>
      <c r="D86" s="710"/>
      <c r="E86" s="107" t="s">
        <v>84</v>
      </c>
      <c r="F86" s="730"/>
      <c r="G86" s="729"/>
      <c r="H86" s="718"/>
      <c r="I86" s="718"/>
      <c r="J86" s="709"/>
      <c r="K86" s="709"/>
    </row>
    <row r="87" spans="1:11" ht="13.5" customHeight="1">
      <c r="A87" s="711" t="s">
        <v>40</v>
      </c>
      <c r="B87" s="711"/>
      <c r="C87" s="711"/>
      <c r="D87" s="711"/>
      <c r="E87" s="57">
        <f>COMPUTATION!K9-COMPUTATION!K11</f>
        <v>0</v>
      </c>
      <c r="F87" s="730"/>
      <c r="G87" s="729"/>
      <c r="H87" s="718"/>
      <c r="I87" s="718"/>
      <c r="J87" s="709"/>
      <c r="K87" s="709"/>
    </row>
    <row r="88" spans="1:11" ht="13.5" customHeight="1">
      <c r="A88" s="711" t="s">
        <v>41</v>
      </c>
      <c r="B88" s="711"/>
      <c r="C88" s="711"/>
      <c r="D88" s="711"/>
      <c r="E88" s="57">
        <f>SUM(COMPUTATION!B14:L14)</f>
        <v>0</v>
      </c>
      <c r="F88" s="730"/>
      <c r="G88" s="729"/>
      <c r="H88" s="712">
        <f>E87+E88</f>
        <v>0</v>
      </c>
      <c r="I88" s="712"/>
      <c r="J88" s="709"/>
      <c r="K88" s="709"/>
    </row>
    <row r="89" spans="1:11" ht="14.25" customHeight="1">
      <c r="A89" s="719" t="s">
        <v>104</v>
      </c>
      <c r="B89" s="720"/>
      <c r="C89" s="720"/>
      <c r="D89" s="720"/>
      <c r="E89" s="720"/>
      <c r="F89" s="730"/>
      <c r="G89" s="729"/>
      <c r="H89" s="721"/>
      <c r="I89" s="721"/>
      <c r="J89" s="708">
        <f>J84+H88</f>
        <v>596262</v>
      </c>
      <c r="K89" s="708"/>
    </row>
    <row r="90" spans="1:11" ht="15" customHeight="1">
      <c r="A90" s="719" t="s">
        <v>105</v>
      </c>
      <c r="B90" s="720"/>
      <c r="C90" s="720"/>
      <c r="D90" s="720"/>
      <c r="E90" s="720"/>
      <c r="F90" s="730"/>
      <c r="G90" s="729"/>
      <c r="H90" s="721"/>
      <c r="I90" s="721"/>
      <c r="J90" s="709"/>
      <c r="K90" s="709"/>
    </row>
    <row r="91" spans="1:11" ht="15" customHeight="1">
      <c r="A91" s="722" t="s">
        <v>106</v>
      </c>
      <c r="B91" s="723"/>
      <c r="C91" s="723"/>
      <c r="D91" s="723"/>
      <c r="E91" s="723"/>
      <c r="F91" s="731"/>
      <c r="G91" s="732"/>
      <c r="H91" s="721"/>
      <c r="I91" s="721"/>
      <c r="J91" s="709"/>
      <c r="K91" s="709"/>
    </row>
    <row r="92" spans="1:11" ht="16.5" customHeight="1">
      <c r="A92" s="701" t="s">
        <v>107</v>
      </c>
      <c r="B92" s="702"/>
      <c r="C92" s="702"/>
      <c r="D92" s="703"/>
      <c r="E92" s="703"/>
      <c r="F92" s="704"/>
      <c r="G92" s="704"/>
      <c r="H92" s="692" t="s">
        <v>27</v>
      </c>
      <c r="I92" s="693"/>
      <c r="J92" s="705" t="s">
        <v>28</v>
      </c>
      <c r="K92" s="706"/>
    </row>
    <row r="93" spans="1:11" ht="12.75" customHeight="1">
      <c r="A93" s="694" t="s">
        <v>134</v>
      </c>
      <c r="B93" s="55">
        <v>1</v>
      </c>
      <c r="C93" s="844" t="s">
        <v>202</v>
      </c>
      <c r="D93" s="697" t="s">
        <v>16</v>
      </c>
      <c r="E93" s="697"/>
      <c r="F93" s="679" t="str">
        <f>COMPUTATION!G23</f>
        <v/>
      </c>
      <c r="G93" s="700"/>
      <c r="H93" s="713"/>
      <c r="I93" s="714"/>
      <c r="J93" s="64"/>
      <c r="K93" s="65"/>
    </row>
    <row r="94" spans="1:11" ht="12.75" customHeight="1">
      <c r="A94" s="694"/>
      <c r="B94" s="55">
        <v>2</v>
      </c>
      <c r="C94" s="815"/>
      <c r="D94" s="827" t="s">
        <v>197</v>
      </c>
      <c r="E94" s="828"/>
      <c r="F94" s="700">
        <f>COMPUTATION!G18</f>
        <v>31800</v>
      </c>
      <c r="G94" s="700"/>
      <c r="H94" s="715"/>
      <c r="I94" s="716"/>
      <c r="J94" s="66"/>
      <c r="K94" s="67"/>
    </row>
    <row r="95" spans="1:11" ht="12.75" customHeight="1">
      <c r="A95" s="694"/>
      <c r="B95" s="55">
        <v>3</v>
      </c>
      <c r="C95" s="815"/>
      <c r="D95" s="698" t="s">
        <v>108</v>
      </c>
      <c r="E95" s="699"/>
      <c r="F95" s="700">
        <f>COMPUTATION!G24</f>
        <v>220</v>
      </c>
      <c r="G95" s="700"/>
      <c r="H95" s="715"/>
      <c r="I95" s="716"/>
      <c r="J95" s="66"/>
      <c r="K95" s="67"/>
    </row>
    <row r="96" spans="1:11" ht="12.75" customHeight="1">
      <c r="A96" s="694"/>
      <c r="B96" s="55">
        <v>4</v>
      </c>
      <c r="C96" s="815"/>
      <c r="D96" s="698" t="s">
        <v>198</v>
      </c>
      <c r="E96" s="699"/>
      <c r="F96" s="700">
        <f>COMPUTATION!G19+COMPUTATION!G25+COMPUTATION!L24</f>
        <v>0</v>
      </c>
      <c r="G96" s="700"/>
      <c r="H96" s="715"/>
      <c r="I96" s="716"/>
      <c r="J96" s="66"/>
      <c r="K96" s="67"/>
    </row>
    <row r="97" spans="1:13" ht="12.75" customHeight="1">
      <c r="A97" s="694"/>
      <c r="B97" s="55">
        <v>5</v>
      </c>
      <c r="C97" s="815"/>
      <c r="D97" s="698" t="s">
        <v>17</v>
      </c>
      <c r="E97" s="699"/>
      <c r="F97" s="700">
        <f>COMPUTATION!G21</f>
        <v>0</v>
      </c>
      <c r="G97" s="700"/>
      <c r="H97" s="715"/>
      <c r="I97" s="716"/>
      <c r="J97" s="66"/>
      <c r="K97" s="67"/>
    </row>
    <row r="98" spans="1:13" ht="14.25" customHeight="1">
      <c r="A98" s="694"/>
      <c r="B98" s="55">
        <v>6</v>
      </c>
      <c r="C98" s="815"/>
      <c r="D98" s="698" t="s">
        <v>201</v>
      </c>
      <c r="E98" s="699"/>
      <c r="F98" s="700">
        <f>COMPUTATION!G26</f>
        <v>0</v>
      </c>
      <c r="G98" s="700"/>
      <c r="H98" s="715"/>
      <c r="I98" s="716"/>
      <c r="J98" s="66"/>
      <c r="K98" s="67"/>
    </row>
    <row r="99" spans="1:13" ht="14.25" customHeight="1">
      <c r="A99" s="694"/>
      <c r="B99" s="55">
        <v>7</v>
      </c>
      <c r="C99" s="815"/>
      <c r="D99" s="803" t="s">
        <v>109</v>
      </c>
      <c r="E99" s="804"/>
      <c r="F99" s="700">
        <f>COMPUTATION!L22</f>
        <v>0</v>
      </c>
      <c r="G99" s="700"/>
      <c r="H99" s="715"/>
      <c r="I99" s="716"/>
      <c r="J99" s="66"/>
      <c r="K99" s="67"/>
    </row>
    <row r="100" spans="1:13" ht="14.25" customHeight="1">
      <c r="A100" s="694"/>
      <c r="B100" s="55">
        <v>8</v>
      </c>
      <c r="C100" s="815"/>
      <c r="D100" s="698" t="s">
        <v>203</v>
      </c>
      <c r="E100" s="699"/>
      <c r="F100" s="700">
        <f>COMPUTATION!L18+COMPUTATION!L19</f>
        <v>52294</v>
      </c>
      <c r="G100" s="700"/>
      <c r="H100" s="715"/>
      <c r="I100" s="716"/>
      <c r="J100" s="66"/>
      <c r="K100" s="67"/>
    </row>
    <row r="101" spans="1:13" ht="14.25" customHeight="1">
      <c r="A101" s="694"/>
      <c r="B101" s="55">
        <v>9</v>
      </c>
      <c r="C101" s="815"/>
      <c r="D101" s="698" t="s">
        <v>110</v>
      </c>
      <c r="E101" s="699"/>
      <c r="F101" s="700">
        <f>COMPUTATION!L21</f>
        <v>0</v>
      </c>
      <c r="G101" s="700"/>
      <c r="H101" s="715"/>
      <c r="I101" s="716"/>
      <c r="J101" s="66"/>
      <c r="K101" s="67"/>
    </row>
    <row r="102" spans="1:13" ht="14.25" customHeight="1">
      <c r="A102" s="694"/>
      <c r="B102" s="55">
        <v>10</v>
      </c>
      <c r="C102" s="815"/>
      <c r="D102" s="698" t="s">
        <v>111</v>
      </c>
      <c r="E102" s="699"/>
      <c r="F102" s="700">
        <f>COMPUTATION!L20+COMPUTATION!G20</f>
        <v>0</v>
      </c>
      <c r="G102" s="700"/>
      <c r="H102" s="715"/>
      <c r="I102" s="716"/>
      <c r="J102" s="66"/>
      <c r="K102" s="68"/>
    </row>
    <row r="103" spans="1:13" ht="18.75" customHeight="1">
      <c r="A103" s="694"/>
      <c r="B103" s="55">
        <v>11</v>
      </c>
      <c r="C103" s="815"/>
      <c r="D103" s="803" t="s">
        <v>306</v>
      </c>
      <c r="E103" s="804"/>
      <c r="F103" s="700">
        <f>COMPUTATION!L23</f>
        <v>0</v>
      </c>
      <c r="G103" s="700"/>
      <c r="H103" s="715"/>
      <c r="I103" s="716"/>
      <c r="J103" s="69"/>
      <c r="K103" s="68"/>
    </row>
    <row r="104" spans="1:13" ht="18.75" customHeight="1">
      <c r="A104" s="694"/>
      <c r="B104" s="55">
        <v>12</v>
      </c>
      <c r="C104" s="815"/>
      <c r="D104" s="698" t="s">
        <v>126</v>
      </c>
      <c r="E104" s="699"/>
      <c r="F104" s="700">
        <f>COMPUTATION!L25</f>
        <v>0</v>
      </c>
      <c r="G104" s="700"/>
      <c r="H104" s="70"/>
      <c r="I104" s="71"/>
      <c r="J104" s="69"/>
      <c r="K104" s="68"/>
    </row>
    <row r="105" spans="1:13" ht="18.75" customHeight="1">
      <c r="A105" s="694"/>
      <c r="B105" s="83">
        <v>13</v>
      </c>
      <c r="C105" s="845"/>
      <c r="D105" s="695" t="s">
        <v>125</v>
      </c>
      <c r="E105" s="696"/>
      <c r="F105" s="678">
        <f>COMPUTATION!G22</f>
        <v>0</v>
      </c>
      <c r="G105" s="679"/>
      <c r="H105" s="674">
        <f>SUM(F91:F105)</f>
        <v>84314</v>
      </c>
      <c r="I105" s="674"/>
      <c r="J105" s="678">
        <f>IF(H105&lt;=150000, H105, 150000)</f>
        <v>84314</v>
      </c>
      <c r="K105" s="679"/>
    </row>
    <row r="106" spans="1:13" ht="17.25" customHeight="1">
      <c r="A106" s="694"/>
      <c r="B106" s="641" t="s">
        <v>335</v>
      </c>
      <c r="C106" s="641"/>
      <c r="D106" s="641"/>
      <c r="E106" s="641"/>
      <c r="F106" s="700">
        <f>COMPUTATION!L27</f>
        <v>52294</v>
      </c>
      <c r="G106" s="700"/>
      <c r="H106" s="72"/>
      <c r="I106" s="73"/>
      <c r="J106" s="676"/>
      <c r="K106" s="677"/>
      <c r="M106" s="235"/>
    </row>
    <row r="107" spans="1:13" ht="20.25" customHeight="1">
      <c r="A107" s="694"/>
      <c r="B107" s="689" t="s">
        <v>336</v>
      </c>
      <c r="C107" s="688"/>
      <c r="D107" s="688"/>
      <c r="E107" s="690"/>
      <c r="F107" s="678">
        <f>COMPUTATION!L28</f>
        <v>0</v>
      </c>
      <c r="G107" s="679"/>
      <c r="H107" s="674">
        <f>J105+F106+F107</f>
        <v>136608</v>
      </c>
      <c r="I107" s="674"/>
      <c r="J107" s="687">
        <f>H107</f>
        <v>136608</v>
      </c>
      <c r="K107" s="687"/>
    </row>
    <row r="108" spans="1:13" s="78" customFormat="1" ht="22.5" customHeight="1">
      <c r="A108" s="108"/>
      <c r="B108" s="109"/>
      <c r="C108" s="109"/>
      <c r="D108" s="109"/>
      <c r="E108" s="109"/>
      <c r="F108" s="109"/>
      <c r="G108" s="109"/>
      <c r="H108" s="688" t="s">
        <v>228</v>
      </c>
      <c r="I108" s="688"/>
      <c r="J108" s="688"/>
      <c r="K108" s="110"/>
    </row>
    <row r="109" spans="1:13" s="78" customFormat="1" ht="21.75" customHeight="1">
      <c r="A109" s="689" t="s">
        <v>229</v>
      </c>
      <c r="B109" s="688"/>
      <c r="C109" s="688"/>
      <c r="D109" s="688"/>
      <c r="E109" s="688"/>
      <c r="F109" s="688"/>
      <c r="G109" s="688"/>
      <c r="H109" s="688"/>
      <c r="I109" s="688"/>
      <c r="J109" s="688"/>
      <c r="K109" s="690"/>
    </row>
    <row r="110" spans="1:13" ht="21" customHeight="1">
      <c r="A110" s="691" t="s">
        <v>127</v>
      </c>
      <c r="B110" s="691"/>
      <c r="C110" s="691"/>
      <c r="D110" s="691"/>
      <c r="E110" s="691"/>
      <c r="F110" s="692" t="s">
        <v>27</v>
      </c>
      <c r="G110" s="693"/>
      <c r="H110" s="672" t="s">
        <v>112</v>
      </c>
      <c r="I110" s="672"/>
      <c r="J110" s="672" t="s">
        <v>28</v>
      </c>
      <c r="K110" s="672"/>
    </row>
    <row r="111" spans="1:13" ht="22.5" customHeight="1">
      <c r="A111" s="76">
        <v>1</v>
      </c>
      <c r="B111" s="641" t="s">
        <v>113</v>
      </c>
      <c r="C111" s="641"/>
      <c r="D111" s="641"/>
      <c r="E111" s="641"/>
      <c r="F111" s="825">
        <f>Home!C51</f>
        <v>0</v>
      </c>
      <c r="G111" s="826"/>
      <c r="H111" s="678">
        <f>F111/2</f>
        <v>0</v>
      </c>
      <c r="I111" s="679"/>
      <c r="J111" s="660"/>
      <c r="K111" s="661"/>
    </row>
    <row r="112" spans="1:13" ht="15" customHeight="1">
      <c r="A112" s="76">
        <v>2</v>
      </c>
      <c r="B112" s="641" t="s">
        <v>114</v>
      </c>
      <c r="C112" s="641"/>
      <c r="D112" s="641"/>
      <c r="E112" s="641"/>
      <c r="F112" s="674">
        <f>COMPUTATION!M31</f>
        <v>0</v>
      </c>
      <c r="G112" s="674"/>
      <c r="H112" s="674">
        <f t="shared" ref="H112:H119" si="1">F112</f>
        <v>0</v>
      </c>
      <c r="I112" s="674"/>
      <c r="J112" s="662"/>
      <c r="K112" s="663"/>
    </row>
    <row r="113" spans="1:13" ht="15" customHeight="1">
      <c r="A113" s="76">
        <v>3</v>
      </c>
      <c r="B113" s="641" t="s">
        <v>115</v>
      </c>
      <c r="C113" s="641"/>
      <c r="D113" s="641"/>
      <c r="E113" s="641"/>
      <c r="F113" s="674">
        <f>COMPUTATION!M32</f>
        <v>0</v>
      </c>
      <c r="G113" s="674"/>
      <c r="H113" s="674">
        <f t="shared" si="1"/>
        <v>0</v>
      </c>
      <c r="I113" s="674"/>
      <c r="J113" s="662"/>
      <c r="K113" s="663"/>
    </row>
    <row r="114" spans="1:13" ht="15" customHeight="1">
      <c r="A114" s="76">
        <v>4</v>
      </c>
      <c r="B114" s="641" t="s">
        <v>116</v>
      </c>
      <c r="C114" s="641"/>
      <c r="D114" s="641"/>
      <c r="E114" s="641"/>
      <c r="F114" s="674">
        <f>COMPUTATION!M33</f>
        <v>0</v>
      </c>
      <c r="G114" s="674"/>
      <c r="H114" s="674">
        <f t="shared" si="1"/>
        <v>0</v>
      </c>
      <c r="I114" s="674"/>
      <c r="J114" s="662"/>
      <c r="K114" s="663"/>
    </row>
    <row r="115" spans="1:13" ht="15" customHeight="1">
      <c r="A115" s="76">
        <v>5</v>
      </c>
      <c r="B115" s="641" t="s">
        <v>117</v>
      </c>
      <c r="C115" s="641"/>
      <c r="D115" s="641"/>
      <c r="E115" s="641"/>
      <c r="F115" s="674">
        <f>COMPUTATION!M34</f>
        <v>0</v>
      </c>
      <c r="G115" s="674"/>
      <c r="H115" s="674">
        <f t="shared" si="1"/>
        <v>0</v>
      </c>
      <c r="I115" s="674"/>
      <c r="J115" s="662"/>
      <c r="K115" s="663"/>
    </row>
    <row r="116" spans="1:13" ht="14.25" customHeight="1">
      <c r="A116" s="76">
        <v>1</v>
      </c>
      <c r="B116" s="641" t="s">
        <v>118</v>
      </c>
      <c r="C116" s="641"/>
      <c r="D116" s="641"/>
      <c r="E116" s="641"/>
      <c r="F116" s="824">
        <f>COMPUTATION!M35</f>
        <v>0</v>
      </c>
      <c r="G116" s="824"/>
      <c r="H116" s="674">
        <f t="shared" si="1"/>
        <v>0</v>
      </c>
      <c r="I116" s="674"/>
      <c r="J116" s="662"/>
      <c r="K116" s="663"/>
    </row>
    <row r="117" spans="1:13" ht="15" customHeight="1">
      <c r="A117" s="76">
        <v>7</v>
      </c>
      <c r="B117" s="641" t="s">
        <v>119</v>
      </c>
      <c r="C117" s="641"/>
      <c r="D117" s="641"/>
      <c r="E117" s="641"/>
      <c r="F117" s="675"/>
      <c r="G117" s="675"/>
      <c r="H117" s="674">
        <f t="shared" si="1"/>
        <v>0</v>
      </c>
      <c r="I117" s="674"/>
      <c r="J117" s="662"/>
      <c r="K117" s="663"/>
    </row>
    <row r="118" spans="1:13" ht="15" customHeight="1">
      <c r="A118" s="76">
        <v>8</v>
      </c>
      <c r="B118" s="641" t="s">
        <v>120</v>
      </c>
      <c r="C118" s="641"/>
      <c r="D118" s="641"/>
      <c r="E118" s="641"/>
      <c r="F118" s="675"/>
      <c r="G118" s="675"/>
      <c r="H118" s="674">
        <f t="shared" si="1"/>
        <v>0</v>
      </c>
      <c r="I118" s="674"/>
      <c r="J118" s="662"/>
      <c r="K118" s="663"/>
    </row>
    <row r="119" spans="1:13" ht="15" customHeight="1">
      <c r="A119" s="76">
        <v>9</v>
      </c>
      <c r="B119" s="641" t="s">
        <v>121</v>
      </c>
      <c r="C119" s="641"/>
      <c r="D119" s="641"/>
      <c r="E119" s="641"/>
      <c r="F119" s="674">
        <f>COMPUTATION!M36</f>
        <v>0</v>
      </c>
      <c r="G119" s="674"/>
      <c r="H119" s="674">
        <f t="shared" si="1"/>
        <v>0</v>
      </c>
      <c r="I119" s="674"/>
      <c r="J119" s="664"/>
      <c r="K119" s="665"/>
    </row>
    <row r="120" spans="1:13" ht="21.75" customHeight="1">
      <c r="A120" s="76">
        <v>10</v>
      </c>
      <c r="B120" s="641" t="s">
        <v>122</v>
      </c>
      <c r="C120" s="641"/>
      <c r="D120" s="641"/>
      <c r="E120" s="641"/>
      <c r="F120" s="667">
        <f>COMPUTATION!I14</f>
        <v>0</v>
      </c>
      <c r="G120" s="668"/>
      <c r="H120" s="667">
        <f>COMPUTATION!M37</f>
        <v>0</v>
      </c>
      <c r="I120" s="668"/>
      <c r="J120" s="667">
        <f>ROUND((H111+H112+H113+H114+H115+H116+H117+H118+H119+H120),0)</f>
        <v>0</v>
      </c>
      <c r="K120" s="668"/>
    </row>
    <row r="121" spans="1:13" ht="14.25" customHeight="1">
      <c r="A121" s="669" t="s">
        <v>123</v>
      </c>
      <c r="B121" s="670"/>
      <c r="C121" s="670"/>
      <c r="D121" s="670"/>
      <c r="E121" s="671"/>
      <c r="F121" s="823"/>
      <c r="G121" s="823"/>
      <c r="H121" s="823"/>
      <c r="I121" s="823"/>
      <c r="J121" s="644">
        <f>ROUND((J107+J120),0)</f>
        <v>136608</v>
      </c>
      <c r="K121" s="645"/>
      <c r="M121" s="14"/>
    </row>
    <row r="122" spans="1:13" ht="15" customHeight="1">
      <c r="A122" s="673" t="s">
        <v>124</v>
      </c>
      <c r="B122" s="673"/>
      <c r="C122" s="673"/>
      <c r="D122" s="673"/>
      <c r="E122" s="190" t="s">
        <v>199</v>
      </c>
      <c r="F122" s="642"/>
      <c r="G122" s="643"/>
      <c r="H122" s="642"/>
      <c r="I122" s="643"/>
      <c r="J122" s="644">
        <f>ROUND((J89-J121),-1)</f>
        <v>459650</v>
      </c>
      <c r="K122" s="645"/>
    </row>
    <row r="123" spans="1:13" ht="15" customHeight="1">
      <c r="A123" s="673" t="s">
        <v>29</v>
      </c>
      <c r="B123" s="673"/>
      <c r="C123" s="673"/>
      <c r="D123" s="673"/>
      <c r="E123" s="673"/>
      <c r="F123" s="74"/>
      <c r="G123" s="75"/>
      <c r="H123" s="74"/>
      <c r="I123" s="75"/>
      <c r="J123" s="644">
        <f>ROUND(IF(J122&lt;=250000,0,IF(J122&lt;=500000,(J122-250000)*0.1,IF(J122&lt;=1000000,25000+(J122-500000)*0.2,IF(J122&gt;1000000,125000+(J122-1000000)*0.3,"0")))),0)</f>
        <v>20965</v>
      </c>
      <c r="K123" s="645"/>
    </row>
    <row r="124" spans="1:13" ht="15" customHeight="1">
      <c r="A124" s="666" t="s">
        <v>218</v>
      </c>
      <c r="B124" s="666"/>
      <c r="C124" s="666"/>
      <c r="D124" s="666"/>
      <c r="E124" s="666"/>
      <c r="F124" s="74"/>
      <c r="G124" s="75"/>
      <c r="H124" s="644">
        <f>COMPUTATION!M43</f>
        <v>0</v>
      </c>
      <c r="I124" s="645"/>
      <c r="J124" s="644"/>
      <c r="K124" s="645"/>
      <c r="M124" s="26"/>
    </row>
    <row r="125" spans="1:13" ht="15" customHeight="1">
      <c r="A125" s="646" t="s">
        <v>204</v>
      </c>
      <c r="B125" s="646"/>
      <c r="C125" s="646"/>
      <c r="D125" s="646"/>
      <c r="E125" s="646"/>
      <c r="F125" s="642"/>
      <c r="G125" s="643"/>
      <c r="H125" s="642"/>
      <c r="I125" s="643"/>
      <c r="J125" s="644">
        <f>J123-H124</f>
        <v>20965</v>
      </c>
      <c r="K125" s="645"/>
    </row>
    <row r="126" spans="1:13" ht="15" customHeight="1">
      <c r="A126" s="652" t="s">
        <v>219</v>
      </c>
      <c r="B126" s="652"/>
      <c r="C126" s="652"/>
      <c r="D126" s="652"/>
      <c r="E126" s="652"/>
      <c r="F126" s="642"/>
      <c r="G126" s="643"/>
      <c r="H126" s="642"/>
      <c r="I126" s="643"/>
      <c r="J126" s="644">
        <f>ROUND((J125*0.02),0)+ROUND((J125*0.01),0)</f>
        <v>629</v>
      </c>
      <c r="K126" s="645"/>
    </row>
    <row r="127" spans="1:13" ht="16.5" customHeight="1">
      <c r="A127" s="673" t="s">
        <v>220</v>
      </c>
      <c r="B127" s="673"/>
      <c r="C127" s="673"/>
      <c r="D127" s="673"/>
      <c r="E127" s="673"/>
      <c r="F127" s="642"/>
      <c r="G127" s="643"/>
      <c r="H127" s="642"/>
      <c r="I127" s="643"/>
      <c r="J127" s="644">
        <f>J125+J126</f>
        <v>21594</v>
      </c>
      <c r="K127" s="645"/>
    </row>
    <row r="128" spans="1:13" ht="15" customHeight="1">
      <c r="A128" s="652" t="s">
        <v>221</v>
      </c>
      <c r="B128" s="652"/>
      <c r="C128" s="652"/>
      <c r="D128" s="652"/>
      <c r="E128" s="652"/>
      <c r="F128" s="642"/>
      <c r="G128" s="643"/>
      <c r="H128" s="642"/>
      <c r="I128" s="643"/>
      <c r="J128" s="644">
        <f>COMPUTATION!M47</f>
        <v>0</v>
      </c>
      <c r="K128" s="645"/>
    </row>
    <row r="129" spans="1:11" ht="15" customHeight="1">
      <c r="A129" s="646" t="s">
        <v>222</v>
      </c>
      <c r="B129" s="646"/>
      <c r="C129" s="646"/>
      <c r="D129" s="646"/>
      <c r="E129" s="646"/>
      <c r="F129" s="647"/>
      <c r="G129" s="648"/>
      <c r="H129" s="647"/>
      <c r="I129" s="648"/>
      <c r="J129" s="644">
        <f>J127-J128</f>
        <v>21594</v>
      </c>
      <c r="K129" s="645"/>
    </row>
    <row r="130" spans="1:11" ht="15" customHeight="1">
      <c r="A130" s="673" t="s">
        <v>223</v>
      </c>
      <c r="B130" s="673"/>
      <c r="C130" s="673"/>
      <c r="D130" s="673"/>
      <c r="E130" s="673"/>
      <c r="F130" s="673"/>
      <c r="G130" s="673"/>
      <c r="H130" s="673"/>
      <c r="I130" s="673"/>
      <c r="J130" s="650">
        <f>COMPUTATION!M50</f>
        <v>0</v>
      </c>
      <c r="K130" s="651"/>
    </row>
    <row r="131" spans="1:11" ht="15" customHeight="1">
      <c r="A131" s="685" t="str">
        <f>IF(J129&gt;J130,"Income Tax Payable",IF(J129&lt;J130,"Income Tax Refundable","Income Tax Payble/Refundable"))</f>
        <v>Income Tax Payable</v>
      </c>
      <c r="B131" s="686"/>
      <c r="C131" s="686"/>
      <c r="D131" s="686"/>
      <c r="E131" s="686"/>
      <c r="F131" s="58"/>
      <c r="G131" s="58"/>
      <c r="H131" s="58"/>
      <c r="I131" s="59"/>
      <c r="J131" s="644">
        <f>IF(J129&gt;J130,J129-J130,J130-J129)</f>
        <v>21594</v>
      </c>
      <c r="K131" s="645"/>
    </row>
    <row r="132" spans="1:11" ht="15.75">
      <c r="A132" s="653" t="s">
        <v>30</v>
      </c>
      <c r="B132" s="653"/>
      <c r="C132" s="653"/>
      <c r="D132" s="653"/>
      <c r="E132" s="653"/>
      <c r="F132" s="653"/>
      <c r="G132" s="653"/>
      <c r="H132" s="653"/>
      <c r="I132" s="653"/>
      <c r="J132" s="653"/>
      <c r="K132" s="653"/>
    </row>
    <row r="133" spans="1:11" ht="13.5" customHeight="1">
      <c r="A133" s="81" t="s">
        <v>80</v>
      </c>
      <c r="B133" s="684" t="str">
        <f>A6&amp;","</f>
        <v>ALTAF AHAMAD KHAN,</v>
      </c>
      <c r="C133" s="684"/>
      <c r="D133" s="684"/>
      <c r="E133" s="86" t="s">
        <v>208</v>
      </c>
      <c r="F133" s="659">
        <f>F60</f>
        <v>0</v>
      </c>
      <c r="G133" s="659"/>
      <c r="H133" s="659"/>
      <c r="I133" s="659"/>
      <c r="J133" s="680" t="s">
        <v>81</v>
      </c>
      <c r="K133" s="681"/>
    </row>
    <row r="134" spans="1:11" ht="13.5" customHeight="1">
      <c r="A134" s="682" t="s">
        <v>82</v>
      </c>
      <c r="B134" s="683"/>
      <c r="C134" s="683" t="str">
        <f>Home!J10</f>
        <v>HEADMASTER</v>
      </c>
      <c r="D134" s="683"/>
      <c r="E134" s="683"/>
      <c r="F134" s="657" t="s">
        <v>83</v>
      </c>
      <c r="G134" s="657"/>
      <c r="H134" s="657"/>
      <c r="I134" s="657"/>
      <c r="J134" s="657"/>
      <c r="K134" s="658"/>
    </row>
    <row r="135" spans="1:11" ht="15.75" customHeight="1">
      <c r="A135" s="82" t="s">
        <v>19</v>
      </c>
      <c r="B135" s="24">
        <f>I19</f>
        <v>0</v>
      </c>
      <c r="C135" s="656" t="str">
        <f>IF(OR(LEN(FLOOR(B62,1))=13,FLOOR(B62,1)&lt;=0),"Out of range",PROPER(SUBSTITUTE(CONCATENATE(CHOOSE(MID(TEXT(INT(B62),REPT(0,12)),1,1)+1,"","one hundred ","two hundred ","three hundred ","four hundred ","five hundred ","six hundred ","seven hundred ","eight hundred ","nine hundred "),CHOOSE(MID(TEXT(INT(B62),REPT(0,12)),2,1)+1,"",CHOOSE(MID(TEXT(INT(B62),REPT(0,12)),3,1)+1,"ten","eleven","twelve","thirteen","fourteen","fifteen","sixteen","seventeen","eighteen","nineteen"),"twenty","thirty","forty","fifty","sixty","seventy","eighty","ninety"),IF(VALUE(MID(TEXT(INT(B62),REPT(0,12)),2,1))&gt;1,CHOOSE(MID(TEXT(INT(B62),REPT(0,12)),3,1)+1,"","-one","-two","-three","-four","-five","-six","-seven","-eight","-nine"),IF(VALUE(MID(TEXT(INT(B62),REPT(0,12)),2,1))=0,CHOOSE(MID(TEXT(INT(B62),REPT(0,12)),3,1)+1,"","one","two","three","four","five","six","seven","eight","nine"),"")),IF(B62&gt;=10^9," billion ",""),CHOOSE(MID(TEXT(INT(B62),REPT(0,12)),4,1)+1,"","one hundred ","two hundred ","three hundred ","four hundred ","five hundred ","six hundred ","seven hundred ","eight hundred ","nine hundred "),CHOOSE(MID(TEXT(INT(B62),REPT(0,12)),5,1)+1,"",CHOOSE(MID(TEXT(INT(B62),REPT(0,12)),6,1)+1,"ten","eleven","twelve","thirteen","fourteen","fifteen","sixteen","seventeen","eighteen","nineteen"),"twenty","thirty","forty","fifty","sixty","seventy","eighty","ninety"),IF(VALUE(MID(TEXT(INT(B62),REPT(0,12)),5,1))&gt;1,CHOOSE(MID(TEXT(INT(B62),REPT(0,12)),6,1)+1,"","-one","-two","-three","-four","-five","-six","-seven","-eight","-nine"),IF(VALUE(MID(TEXT(INT(B62),REPT(0,12)),5,1))=0,CHOOSE(MID(TEXT(INT(B62),REPT(0,12)),6,1)+1,"","one","two","three","four","five","six","seven","eight","nine"),"")),IF(VALUE(MID(TEXT(INT(B62),REPT(0,12)),4,3))&gt;0," million ",""),CHOOSE(MID(TEXT(INT(B62),REPT(0,12)),7,1)+1,"","one hundred ","two hundred ","three hundred ","four hundred ","five hundred ","six hundred ","seven hundred ","eight hundred ","nine hundred "),CHOOSE(MID(TEXT(INT(B62),REPT(0,12)),8,1)+1,"",CHOOSE(MID(TEXT(INT(B62),REPT(0,12)),9,1)+1,"ten","eleven","twelve","thirteen","fourteen","fifteen","sixteen","seventeen","eighteen","nineteen"),"twenty","thirty","forty","fifty","sixty","seventy","eighty","ninety"),IF(VALUE(MID(TEXT(INT(B62),REPT(0,12)),8,1))&gt;1,CHOOSE(MID(TEXT(INT(B62),REPT(0,12)),9,1)+1,"","-one","-two","-three","-four","-five","-six","-seven","-eight","-nine"),IF(VALUE(MID(TEXT(INT(B62),REPT(0,12)),8,1))=0,CHOOSE(MID(TEXT(INT(B62),REPT(0,12)),9,1)+1,"","one","two","three","four","five","six","seven","eight","nine"),"")),IF(VALUE(MID(TEXT(INT(B62),REPT(0,12)),7,3))," thousand ",""),CHOOSE(MID(TEXT(INT(B62),REPT(0,12)),10,1)+1,"","one hundred ","two hundred ","three hundred ","four hundred ","five hundred ","six hundred ","seven hundred ","eight hundred ","nine hundred "),CHOOSE(MID(TEXT(INT(B62),REPT(0,12)),11,1)+1,"",CHOOSE(MID(TEXT(INT(B62),REPT(0,12)),12,1)+1,"ten","eleven","twelve","thirteen","fourteen","fifteen","sixteen","seventeen","eighteen","nineteen"),"twenty","thirty","forty","fifty","sixty","seventy","eighty","ninety"),IF(VALUE(MID(TEXT(INT(B62),REPT(0,12)),11,1))&gt;1,CHOOSE(MID(TEXT(INT(B62),REPT(0,12)),12,1)+1,"","-one","-two","-three","-four","-five","-six","-seven","-eight","-nine"),IF(VALUE(MID(TEXT(INT(B62),REPT(0,12)),11,1))=0,CHOOSE(MID(TEXT(INT(B62),REPT(0,12)),12,1)+1,"","one","two","three","four","five","six","seven","eight","nine"),""))),"  "," ")&amp;IF(FLOOR(B62,1)&gt;1," Rupees"," Rupees"))&amp;IF(ISERROR(FIND(".",B62,1)),""," and "&amp;PROPER(IF(LEN(LEFT(TRIM(MID(SUBSTITUTE('16NO'!$B$62,".",REPT(" ",255)),255,200)),2))=1,CHOOSE(1*LEFT(TRIM(MID(SUBSTITUTE('16NO'!$B$62,".",REPT(" ",255)),255,200)),2),"ten","twenty","thirty","forty","fifty","sixty","seventy","eighty","ninety")&amp;" Paise","")&amp;CONCATENATE(CHOOSE(MID(TEXT(INT(LEFT(TRIM(MID(SUBSTITUTE('16NO'!$B$62,".",REPT(" ",255)),255,200)),2)),REPT(0,12)),11,1)+1,"",CHOOSE(MID(TEXT(INT(LEFT(TRIM(MID(SUBSTITUTE('16NO'!$B$62,".",REPT(" ",255)),255,200)),2)),REPT(0,12)),12,1)+1,"ten","eleven","twelve","thirteen","fourteen","fifteen","sixteen","seventeen","eighteen","nineteen"),"twenty","thirty","forty","fifty","sixty","seventy","eighty","ninety"),IF(VALUE(MID(TEXT(INT(LEFT(TRIM(MID(SUBSTITUTE('16NO'!$B$62,".",REPT(" ",255)),255,200)),2)),REPT(0,12)),11,1))&gt;1,CHOOSE(MID(TEXT(INT(LEFT(TRIM(MID(SUBSTITUTE('16NO'!$B$62,".",REPT(" ",255)),255,200)),2)),REPT(0,12)),12,1)+1,"","-one","-two","-three","-four","-five","-six","-seven","-eight","-nine")&amp;" Paise",IF(LEFT(TRIM(MID(SUBSTITUTE('16NO'!$B$62,".",REPT(" ",255)),255,200)),2)="01","one Paise",IF(LEFT(TRIM(MID(SUBSTITUTE('16NO'!$B$62,".",REPT(" ",255)),255,200)),1)="0",CHOOSE(MID(TEXT(INT(LEFT(TRIM(MID(SUBSTITUTE('16NO'!$B$62,".",REPT(" ",255)),255,200)),2)),REPT(0,12)),12,1)+1,"","one","two","three","four","five","six","seven","eight","nine")&amp;" Paise","")))))))</f>
        <v>Out of range</v>
      </c>
      <c r="D135" s="656"/>
      <c r="E135" s="656"/>
      <c r="F135" s="657" t="s">
        <v>205</v>
      </c>
      <c r="G135" s="657"/>
      <c r="H135" s="657"/>
      <c r="I135" s="657"/>
      <c r="J135" s="657"/>
      <c r="K135" s="658"/>
    </row>
    <row r="136" spans="1:11" s="56" customFormat="1" ht="36.75" customHeight="1">
      <c r="A136" s="649" t="s">
        <v>206</v>
      </c>
      <c r="B136" s="649"/>
      <c r="C136" s="649"/>
      <c r="D136" s="649"/>
      <c r="E136" s="649"/>
      <c r="F136" s="649"/>
      <c r="G136" s="649"/>
      <c r="H136" s="649"/>
      <c r="I136" s="649"/>
      <c r="J136" s="649"/>
      <c r="K136" s="649"/>
    </row>
    <row r="137" spans="1:11" ht="27" customHeight="1">
      <c r="A137" s="641" t="s">
        <v>31</v>
      </c>
      <c r="B137" s="641"/>
      <c r="C137" s="655">
        <f>C65</f>
        <v>0</v>
      </c>
      <c r="D137" s="655"/>
      <c r="E137" s="641"/>
      <c r="F137" s="641"/>
      <c r="G137" s="641"/>
      <c r="H137" s="641"/>
      <c r="I137" s="641"/>
      <c r="J137" s="641"/>
      <c r="K137" s="641"/>
    </row>
    <row r="138" spans="1:11" ht="15" customHeight="1">
      <c r="A138" s="641" t="s">
        <v>32</v>
      </c>
      <c r="B138" s="641"/>
      <c r="C138" s="654">
        <f ca="1">TODAY()</f>
        <v>43031</v>
      </c>
      <c r="D138" s="654"/>
      <c r="E138" s="641" t="s">
        <v>33</v>
      </c>
      <c r="F138" s="641"/>
      <c r="G138" s="641"/>
      <c r="H138" s="641"/>
      <c r="I138" s="641"/>
      <c r="J138" s="641"/>
      <c r="K138" s="641"/>
    </row>
    <row r="139" spans="1:11" ht="18.75" customHeight="1">
      <c r="A139" s="637" t="s">
        <v>87</v>
      </c>
      <c r="B139" s="638"/>
      <c r="C139" s="639" t="str">
        <f>C134</f>
        <v>HEADMASTER</v>
      </c>
      <c r="D139" s="640"/>
      <c r="E139" s="79" t="s">
        <v>88</v>
      </c>
      <c r="F139" s="641" t="str">
        <f>A6</f>
        <v>ALTAF AHAMAD KHAN</v>
      </c>
      <c r="G139" s="641"/>
      <c r="H139" s="641"/>
      <c r="I139" s="641"/>
      <c r="J139" s="641"/>
      <c r="K139" s="641"/>
    </row>
    <row r="152" ht="15" customHeight="1"/>
  </sheetData>
  <sheetProtection password="CF6D" sheet="1" objects="1" scenarios="1" formatColumns="0" formatRows="0" insertColumns="0" selectLockedCells="1"/>
  <mergeCells count="386">
    <mergeCell ref="B107:E107"/>
    <mergeCell ref="D100:E100"/>
    <mergeCell ref="D101:E101"/>
    <mergeCell ref="D102:E102"/>
    <mergeCell ref="D103:E103"/>
    <mergeCell ref="D104:E104"/>
    <mergeCell ref="D94:E94"/>
    <mergeCell ref="A1:K1"/>
    <mergeCell ref="A2:K2"/>
    <mergeCell ref="A3:K3"/>
    <mergeCell ref="A4:K4"/>
    <mergeCell ref="A9:C9"/>
    <mergeCell ref="D9:E9"/>
    <mergeCell ref="F9:H9"/>
    <mergeCell ref="I9:K9"/>
    <mergeCell ref="A13:K13"/>
    <mergeCell ref="A10:E10"/>
    <mergeCell ref="F10:G10"/>
    <mergeCell ref="H10:K10"/>
    <mergeCell ref="A5:E5"/>
    <mergeCell ref="F5:K5"/>
    <mergeCell ref="F6:K6"/>
    <mergeCell ref="C93:C105"/>
    <mergeCell ref="F7:K7"/>
    <mergeCell ref="A8:C8"/>
    <mergeCell ref="H122:I122"/>
    <mergeCell ref="F95:G95"/>
    <mergeCell ref="F96:G96"/>
    <mergeCell ref="F106:G106"/>
    <mergeCell ref="F120:G120"/>
    <mergeCell ref="H120:I120"/>
    <mergeCell ref="F94:G94"/>
    <mergeCell ref="A123:E123"/>
    <mergeCell ref="B116:E116"/>
    <mergeCell ref="B117:E117"/>
    <mergeCell ref="B118:E118"/>
    <mergeCell ref="B119:E119"/>
    <mergeCell ref="B120:E120"/>
    <mergeCell ref="F121:G121"/>
    <mergeCell ref="H121:I121"/>
    <mergeCell ref="H117:I117"/>
    <mergeCell ref="F118:G118"/>
    <mergeCell ref="H118:I118"/>
    <mergeCell ref="F116:G116"/>
    <mergeCell ref="H116:I116"/>
    <mergeCell ref="F111:G111"/>
    <mergeCell ref="H111:I111"/>
    <mergeCell ref="F101:G101"/>
    <mergeCell ref="D99:E99"/>
    <mergeCell ref="D8:E8"/>
    <mergeCell ref="F8:H8"/>
    <mergeCell ref="I8:K8"/>
    <mergeCell ref="A7:E7"/>
    <mergeCell ref="A6:E6"/>
    <mergeCell ref="B14:D14"/>
    <mergeCell ref="F14:H14"/>
    <mergeCell ref="I14:K14"/>
    <mergeCell ref="B15:D15"/>
    <mergeCell ref="F15:H15"/>
    <mergeCell ref="I15:K15"/>
    <mergeCell ref="B11:E11"/>
    <mergeCell ref="F11:G12"/>
    <mergeCell ref="H11:I11"/>
    <mergeCell ref="J11:K11"/>
    <mergeCell ref="B12:C12"/>
    <mergeCell ref="H12:I12"/>
    <mergeCell ref="J12:K12"/>
    <mergeCell ref="B18:D18"/>
    <mergeCell ref="F18:H18"/>
    <mergeCell ref="I18:K18"/>
    <mergeCell ref="A19:D19"/>
    <mergeCell ref="F19:H19"/>
    <mergeCell ref="I19:K19"/>
    <mergeCell ref="B16:D16"/>
    <mergeCell ref="F16:H16"/>
    <mergeCell ref="I16:K16"/>
    <mergeCell ref="B17:D17"/>
    <mergeCell ref="F17:H17"/>
    <mergeCell ref="I17:K17"/>
    <mergeCell ref="B24:C24"/>
    <mergeCell ref="F24:H24"/>
    <mergeCell ref="I24:K24"/>
    <mergeCell ref="B25:C25"/>
    <mergeCell ref="F25:H25"/>
    <mergeCell ref="I25:K25"/>
    <mergeCell ref="A20:K20"/>
    <mergeCell ref="A21:K21"/>
    <mergeCell ref="A22:A23"/>
    <mergeCell ref="B22:C23"/>
    <mergeCell ref="D22:K22"/>
    <mergeCell ref="F23:H23"/>
    <mergeCell ref="I23:K23"/>
    <mergeCell ref="B28:C28"/>
    <mergeCell ref="F28:H28"/>
    <mergeCell ref="I28:K28"/>
    <mergeCell ref="B29:C29"/>
    <mergeCell ref="F29:H29"/>
    <mergeCell ref="I29:K29"/>
    <mergeCell ref="B26:C26"/>
    <mergeCell ref="F26:H26"/>
    <mergeCell ref="I26:K26"/>
    <mergeCell ref="B27:C27"/>
    <mergeCell ref="F27:H27"/>
    <mergeCell ref="I27:K27"/>
    <mergeCell ref="B32:C32"/>
    <mergeCell ref="F32:H32"/>
    <mergeCell ref="I32:K32"/>
    <mergeCell ref="B33:C33"/>
    <mergeCell ref="F33:H33"/>
    <mergeCell ref="I33:K33"/>
    <mergeCell ref="B30:C30"/>
    <mergeCell ref="F30:H30"/>
    <mergeCell ref="I30:K30"/>
    <mergeCell ref="B31:C31"/>
    <mergeCell ref="F31:H31"/>
    <mergeCell ref="I31:K31"/>
    <mergeCell ref="B36:C36"/>
    <mergeCell ref="F36:H36"/>
    <mergeCell ref="I36:K36"/>
    <mergeCell ref="B37:C37"/>
    <mergeCell ref="F37:H37"/>
    <mergeCell ref="I37:K37"/>
    <mergeCell ref="B34:C34"/>
    <mergeCell ref="F34:H34"/>
    <mergeCell ref="I34:K34"/>
    <mergeCell ref="B35:C35"/>
    <mergeCell ref="F35:H35"/>
    <mergeCell ref="I35:K35"/>
    <mergeCell ref="A40:K40"/>
    <mergeCell ref="A41:A42"/>
    <mergeCell ref="B41:C42"/>
    <mergeCell ref="D41:K41"/>
    <mergeCell ref="D42:E42"/>
    <mergeCell ref="F42:G42"/>
    <mergeCell ref="H42:I42"/>
    <mergeCell ref="J42:K42"/>
    <mergeCell ref="B38:C38"/>
    <mergeCell ref="D38:K38"/>
    <mergeCell ref="A39:K39"/>
    <mergeCell ref="B43:C43"/>
    <mergeCell ref="D43:E43"/>
    <mergeCell ref="F43:G43"/>
    <mergeCell ref="H43:I43"/>
    <mergeCell ref="J43:K43"/>
    <mergeCell ref="B44:C44"/>
    <mergeCell ref="D44:E44"/>
    <mergeCell ref="F44:G44"/>
    <mergeCell ref="H44:I44"/>
    <mergeCell ref="J44:K44"/>
    <mergeCell ref="B45:C45"/>
    <mergeCell ref="D45:E45"/>
    <mergeCell ref="F45:G45"/>
    <mergeCell ref="H45:I45"/>
    <mergeCell ref="J45:K45"/>
    <mergeCell ref="B46:C46"/>
    <mergeCell ref="D46:E46"/>
    <mergeCell ref="F46:G46"/>
    <mergeCell ref="H46:I46"/>
    <mergeCell ref="J46:K46"/>
    <mergeCell ref="B47:C47"/>
    <mergeCell ref="D47:E47"/>
    <mergeCell ref="F47:G47"/>
    <mergeCell ref="H47:I47"/>
    <mergeCell ref="J47:K47"/>
    <mergeCell ref="B48:C48"/>
    <mergeCell ref="D48:E48"/>
    <mergeCell ref="F48:G48"/>
    <mergeCell ref="H48:I48"/>
    <mergeCell ref="J48:K48"/>
    <mergeCell ref="B49:C49"/>
    <mergeCell ref="D49:E49"/>
    <mergeCell ref="F49:G49"/>
    <mergeCell ref="H49:I49"/>
    <mergeCell ref="J49:K49"/>
    <mergeCell ref="B50:C50"/>
    <mergeCell ref="D50:E50"/>
    <mergeCell ref="F50:G50"/>
    <mergeCell ref="H50:I50"/>
    <mergeCell ref="J50:K50"/>
    <mergeCell ref="B51:C51"/>
    <mergeCell ref="D51:E51"/>
    <mergeCell ref="F51:G51"/>
    <mergeCell ref="H51:I51"/>
    <mergeCell ref="J51:K51"/>
    <mergeCell ref="B52:C52"/>
    <mergeCell ref="D52:E52"/>
    <mergeCell ref="F52:G52"/>
    <mergeCell ref="H52:I52"/>
    <mergeCell ref="J52:K52"/>
    <mergeCell ref="B53:C53"/>
    <mergeCell ref="D53:E53"/>
    <mergeCell ref="F53:G53"/>
    <mergeCell ref="H53:I53"/>
    <mergeCell ref="J53:K53"/>
    <mergeCell ref="B54:C54"/>
    <mergeCell ref="D54:E54"/>
    <mergeCell ref="F54:G54"/>
    <mergeCell ref="H54:I54"/>
    <mergeCell ref="J54:K54"/>
    <mergeCell ref="B55:C55"/>
    <mergeCell ref="D55:E55"/>
    <mergeCell ref="F55:G55"/>
    <mergeCell ref="H55:I55"/>
    <mergeCell ref="J55:K55"/>
    <mergeCell ref="B56:C56"/>
    <mergeCell ref="D56:E56"/>
    <mergeCell ref="F56:G56"/>
    <mergeCell ref="H56:I56"/>
    <mergeCell ref="J56:K56"/>
    <mergeCell ref="A59:K59"/>
    <mergeCell ref="B60:D60"/>
    <mergeCell ref="J60:K60"/>
    <mergeCell ref="A61:B61"/>
    <mergeCell ref="C61:E61"/>
    <mergeCell ref="F61:K61"/>
    <mergeCell ref="B57:C57"/>
    <mergeCell ref="D57:K57"/>
    <mergeCell ref="A58:K58"/>
    <mergeCell ref="F60:I60"/>
    <mergeCell ref="A66:B66"/>
    <mergeCell ref="E66:K66"/>
    <mergeCell ref="A67:B67"/>
    <mergeCell ref="C67:D67"/>
    <mergeCell ref="F67:K67"/>
    <mergeCell ref="A68:K68"/>
    <mergeCell ref="C62:G62"/>
    <mergeCell ref="H62:K62"/>
    <mergeCell ref="A63:K63"/>
    <mergeCell ref="A64:K64"/>
    <mergeCell ref="A65:B65"/>
    <mergeCell ref="C65:D65"/>
    <mergeCell ref="E65:K65"/>
    <mergeCell ref="C66:D66"/>
    <mergeCell ref="A69:K69"/>
    <mergeCell ref="A70:E70"/>
    <mergeCell ref="F70:G70"/>
    <mergeCell ref="H70:I73"/>
    <mergeCell ref="J70:K83"/>
    <mergeCell ref="A71:E71"/>
    <mergeCell ref="F71:G71"/>
    <mergeCell ref="A72:E72"/>
    <mergeCell ref="F72:G72"/>
    <mergeCell ref="A73:E73"/>
    <mergeCell ref="F78:G78"/>
    <mergeCell ref="A79:E79"/>
    <mergeCell ref="F79:G80"/>
    <mergeCell ref="H79:I79"/>
    <mergeCell ref="A80:E80"/>
    <mergeCell ref="A81:B81"/>
    <mergeCell ref="C81:E81"/>
    <mergeCell ref="F81:G81"/>
    <mergeCell ref="F73:G73"/>
    <mergeCell ref="A74:E74"/>
    <mergeCell ref="F74:G77"/>
    <mergeCell ref="H74:I74"/>
    <mergeCell ref="A75:E75"/>
    <mergeCell ref="H75:I78"/>
    <mergeCell ref="A76:C76"/>
    <mergeCell ref="D76:E76"/>
    <mergeCell ref="A77:C77"/>
    <mergeCell ref="A78:C78"/>
    <mergeCell ref="A82:B82"/>
    <mergeCell ref="C82:E82"/>
    <mergeCell ref="F82:G82"/>
    <mergeCell ref="A83:E83"/>
    <mergeCell ref="F83:G91"/>
    <mergeCell ref="H83:I83"/>
    <mergeCell ref="A84:E84"/>
    <mergeCell ref="H84:I87"/>
    <mergeCell ref="A89:E89"/>
    <mergeCell ref="H89:I91"/>
    <mergeCell ref="J89:K89"/>
    <mergeCell ref="A90:E90"/>
    <mergeCell ref="J90:K91"/>
    <mergeCell ref="A91:E91"/>
    <mergeCell ref="F103:G103"/>
    <mergeCell ref="F104:G104"/>
    <mergeCell ref="H93:I103"/>
    <mergeCell ref="F105:G105"/>
    <mergeCell ref="F97:G97"/>
    <mergeCell ref="F98:G98"/>
    <mergeCell ref="H105:I105"/>
    <mergeCell ref="F99:G99"/>
    <mergeCell ref="F100:G100"/>
    <mergeCell ref="F93:G93"/>
    <mergeCell ref="A92:E92"/>
    <mergeCell ref="F92:G92"/>
    <mergeCell ref="H92:I92"/>
    <mergeCell ref="J92:K92"/>
    <mergeCell ref="J84:K84"/>
    <mergeCell ref="A85:E85"/>
    <mergeCell ref="J85:K88"/>
    <mergeCell ref="A86:D86"/>
    <mergeCell ref="A87:D87"/>
    <mergeCell ref="A88:D88"/>
    <mergeCell ref="H88:I88"/>
    <mergeCell ref="H107:I107"/>
    <mergeCell ref="J107:K107"/>
    <mergeCell ref="H108:J108"/>
    <mergeCell ref="A109:K109"/>
    <mergeCell ref="F112:G112"/>
    <mergeCell ref="F115:G115"/>
    <mergeCell ref="H115:I115"/>
    <mergeCell ref="H112:I112"/>
    <mergeCell ref="F113:G113"/>
    <mergeCell ref="H113:I113"/>
    <mergeCell ref="F114:G114"/>
    <mergeCell ref="H114:I114"/>
    <mergeCell ref="A110:E110"/>
    <mergeCell ref="F110:G110"/>
    <mergeCell ref="H110:I110"/>
    <mergeCell ref="A93:A107"/>
    <mergeCell ref="D105:E105"/>
    <mergeCell ref="D93:E93"/>
    <mergeCell ref="D95:E95"/>
    <mergeCell ref="D96:E96"/>
    <mergeCell ref="D97:E97"/>
    <mergeCell ref="D98:E98"/>
    <mergeCell ref="J105:K105"/>
    <mergeCell ref="F102:G102"/>
    <mergeCell ref="J133:K133"/>
    <mergeCell ref="A134:B134"/>
    <mergeCell ref="C134:E134"/>
    <mergeCell ref="F134:K134"/>
    <mergeCell ref="F125:G125"/>
    <mergeCell ref="H125:I125"/>
    <mergeCell ref="J125:K125"/>
    <mergeCell ref="A126:E126"/>
    <mergeCell ref="F126:G126"/>
    <mergeCell ref="H126:I126"/>
    <mergeCell ref="J126:K126"/>
    <mergeCell ref="A127:E127"/>
    <mergeCell ref="F127:G127"/>
    <mergeCell ref="H127:I127"/>
    <mergeCell ref="J127:K127"/>
    <mergeCell ref="B133:D133"/>
    <mergeCell ref="A131:E131"/>
    <mergeCell ref="A130:I130"/>
    <mergeCell ref="J111:K119"/>
    <mergeCell ref="B106:E106"/>
    <mergeCell ref="J123:K123"/>
    <mergeCell ref="A124:E124"/>
    <mergeCell ref="J124:K124"/>
    <mergeCell ref="A125:E125"/>
    <mergeCell ref="H124:I124"/>
    <mergeCell ref="J120:K120"/>
    <mergeCell ref="A121:E121"/>
    <mergeCell ref="J110:K110"/>
    <mergeCell ref="A122:D122"/>
    <mergeCell ref="F119:G119"/>
    <mergeCell ref="B111:E111"/>
    <mergeCell ref="B112:E112"/>
    <mergeCell ref="B113:E113"/>
    <mergeCell ref="B114:E114"/>
    <mergeCell ref="B115:E115"/>
    <mergeCell ref="J121:K121"/>
    <mergeCell ref="F122:G122"/>
    <mergeCell ref="H119:I119"/>
    <mergeCell ref="F117:G117"/>
    <mergeCell ref="J122:K122"/>
    <mergeCell ref="J106:K106"/>
    <mergeCell ref="F107:G107"/>
    <mergeCell ref="A139:B139"/>
    <mergeCell ref="C139:D139"/>
    <mergeCell ref="F139:K139"/>
    <mergeCell ref="A138:B138"/>
    <mergeCell ref="E138:K138"/>
    <mergeCell ref="F128:G128"/>
    <mergeCell ref="H128:I128"/>
    <mergeCell ref="J128:K128"/>
    <mergeCell ref="A129:E129"/>
    <mergeCell ref="F129:G129"/>
    <mergeCell ref="H129:I129"/>
    <mergeCell ref="J129:K129"/>
    <mergeCell ref="A136:K136"/>
    <mergeCell ref="J130:K130"/>
    <mergeCell ref="J131:K131"/>
    <mergeCell ref="A128:E128"/>
    <mergeCell ref="A132:K132"/>
    <mergeCell ref="C138:D138"/>
    <mergeCell ref="A137:B137"/>
    <mergeCell ref="C137:D137"/>
    <mergeCell ref="E137:K137"/>
    <mergeCell ref="C135:E135"/>
    <mergeCell ref="F135:K135"/>
    <mergeCell ref="F133:I133"/>
  </mergeCells>
  <conditionalFormatting sqref="D93:D94">
    <cfRule type="containsBlanks" dxfId="0" priority="1">
      <formula>LEN(TRIM(D93))=0</formula>
    </cfRule>
  </conditionalFormatting>
  <dataValidations count="1">
    <dataValidation allowBlank="1" showInputMessage="1" showErrorMessage="1" promptTitle="Vijay" prompt="Employee Reference No. provided by the Employer (If available)." sqref="I9:K9"/>
  </dataValidations>
  <printOptions horizontalCentered="1"/>
  <pageMargins left="0.31496062992126" right="0.31496062992126" top="0.31496062992126" bottom="0.35433070866141703" header="0" footer="0"/>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0.499984740745262"/>
  </sheetPr>
  <dimension ref="A1:T16"/>
  <sheetViews>
    <sheetView showGridLines="0" workbookViewId="0">
      <selection activeCell="D11" sqref="D11:G11"/>
    </sheetView>
  </sheetViews>
  <sheetFormatPr defaultColWidth="9.140625" defaultRowHeight="15"/>
  <cols>
    <col min="1" max="1" width="7.42578125" style="264" customWidth="1"/>
    <col min="2" max="2" width="7.140625" style="264" customWidth="1"/>
    <col min="3" max="3" width="6.42578125" style="264" customWidth="1"/>
    <col min="4" max="4" width="6.85546875" style="264" customWidth="1"/>
    <col min="5" max="5" width="8" style="264" customWidth="1"/>
    <col min="6" max="6" width="6.42578125" style="264" customWidth="1"/>
    <col min="7" max="7" width="7.42578125" style="264" customWidth="1"/>
    <col min="8" max="8" width="7.7109375" style="264" customWidth="1"/>
    <col min="9" max="9" width="8.42578125" style="264" customWidth="1"/>
    <col min="10" max="10" width="6.85546875" style="264" customWidth="1"/>
    <col min="11" max="11" width="7.28515625" style="264" customWidth="1"/>
    <col min="12" max="12" width="10.42578125" style="264" customWidth="1"/>
    <col min="13" max="13" width="9" style="264" customWidth="1"/>
    <col min="14" max="14" width="9.42578125" style="264" customWidth="1"/>
    <col min="15" max="15" width="6.5703125" style="264" hidden="1" customWidth="1"/>
    <col min="16" max="16384" width="9.140625" style="264"/>
  </cols>
  <sheetData>
    <row r="1" spans="1:20" ht="34.5" customHeight="1">
      <c r="A1" s="910" t="s">
        <v>563</v>
      </c>
      <c r="B1" s="911"/>
      <c r="C1" s="911"/>
      <c r="D1" s="911"/>
      <c r="E1" s="911"/>
      <c r="F1" s="911"/>
      <c r="G1" s="911"/>
      <c r="H1" s="911"/>
      <c r="I1" s="911"/>
      <c r="J1" s="911"/>
      <c r="K1" s="911"/>
      <c r="L1" s="911"/>
      <c r="M1" s="911"/>
      <c r="N1" s="912"/>
      <c r="O1" s="263"/>
      <c r="P1" s="364"/>
      <c r="Q1" s="947" t="s">
        <v>476</v>
      </c>
      <c r="R1" s="948"/>
      <c r="S1" s="948"/>
      <c r="T1" s="949"/>
    </row>
    <row r="2" spans="1:20" ht="26.25" customHeight="1">
      <c r="A2" s="913" t="s">
        <v>477</v>
      </c>
      <c r="B2" s="914"/>
      <c r="C2" s="915"/>
      <c r="D2" s="916" t="str">
        <f>COMPUTATION!E3</f>
        <v>VIJAY RANWA</v>
      </c>
      <c r="E2" s="917"/>
      <c r="F2" s="917"/>
      <c r="G2" s="917"/>
      <c r="H2" s="917"/>
      <c r="I2" s="917"/>
      <c r="J2" s="917"/>
      <c r="K2" s="917"/>
      <c r="L2" s="917"/>
      <c r="M2" s="917"/>
      <c r="N2" s="918"/>
      <c r="O2" s="265"/>
      <c r="P2" s="266"/>
      <c r="Q2" s="950"/>
      <c r="R2" s="951"/>
      <c r="S2" s="951"/>
      <c r="T2" s="952"/>
    </row>
    <row r="3" spans="1:20" ht="26.25" customHeight="1">
      <c r="A3" s="878" t="s">
        <v>478</v>
      </c>
      <c r="B3" s="879"/>
      <c r="C3" s="880"/>
      <c r="D3" s="919" t="str">
        <f>Home!C11</f>
        <v>HEADMASTER, GOVT SECONDARY SCHOOL DHANERU (BIKANER)</v>
      </c>
      <c r="E3" s="917"/>
      <c r="F3" s="917"/>
      <c r="G3" s="917"/>
      <c r="H3" s="917"/>
      <c r="I3" s="917"/>
      <c r="J3" s="917"/>
      <c r="K3" s="917"/>
      <c r="L3" s="917"/>
      <c r="M3" s="917"/>
      <c r="N3" s="918"/>
      <c r="O3" s="267"/>
      <c r="P3" s="266"/>
      <c r="Q3" s="953"/>
      <c r="R3" s="954"/>
      <c r="S3" s="954"/>
      <c r="T3" s="955"/>
    </row>
    <row r="4" spans="1:20" ht="26.25" customHeight="1">
      <c r="A4" s="878" t="s">
        <v>479</v>
      </c>
      <c r="B4" s="879"/>
      <c r="C4" s="880"/>
      <c r="D4" s="894" t="str">
        <f>'16NO'!F9</f>
        <v>BPGPS1184D</v>
      </c>
      <c r="E4" s="895"/>
      <c r="F4" s="895"/>
      <c r="G4" s="896"/>
      <c r="H4" s="897" t="s">
        <v>480</v>
      </c>
      <c r="I4" s="879"/>
      <c r="J4" s="879"/>
      <c r="K4" s="880"/>
      <c r="L4" s="898" t="s">
        <v>569</v>
      </c>
      <c r="M4" s="899"/>
      <c r="N4" s="900"/>
      <c r="O4" s="268"/>
      <c r="P4" s="266"/>
      <c r="Q4" s="956" t="s">
        <v>584</v>
      </c>
      <c r="R4" s="957"/>
      <c r="S4" s="957"/>
      <c r="T4" s="958"/>
    </row>
    <row r="5" spans="1:20" ht="34.5" customHeight="1">
      <c r="A5" s="868" t="s">
        <v>568</v>
      </c>
      <c r="B5" s="868"/>
      <c r="C5" s="868"/>
      <c r="D5" s="868"/>
      <c r="E5" s="868"/>
      <c r="F5" s="868"/>
      <c r="G5" s="868"/>
      <c r="H5" s="868"/>
      <c r="I5" s="868"/>
      <c r="J5" s="868"/>
      <c r="K5" s="869"/>
      <c r="L5" s="872">
        <f>COMPUTATION!M41</f>
        <v>459650</v>
      </c>
      <c r="M5" s="873"/>
      <c r="N5" s="874"/>
      <c r="O5" s="268"/>
      <c r="P5" s="266"/>
      <c r="Q5" s="959"/>
      <c r="R5" s="960"/>
      <c r="S5" s="960"/>
      <c r="T5" s="961"/>
    </row>
    <row r="6" spans="1:20" ht="34.5" customHeight="1">
      <c r="A6" s="870" t="s">
        <v>564</v>
      </c>
      <c r="B6" s="870"/>
      <c r="C6" s="870"/>
      <c r="D6" s="870"/>
      <c r="E6" s="870"/>
      <c r="F6" s="870"/>
      <c r="G6" s="870"/>
      <c r="H6" s="870"/>
      <c r="I6" s="870"/>
      <c r="J6" s="870"/>
      <c r="K6" s="871"/>
      <c r="L6" s="875"/>
      <c r="M6" s="876"/>
      <c r="N6" s="877"/>
      <c r="O6" s="268"/>
      <c r="P6" s="266"/>
      <c r="Q6" s="959"/>
      <c r="R6" s="960"/>
      <c r="S6" s="960"/>
      <c r="T6" s="961"/>
    </row>
    <row r="7" spans="1:20" ht="26.25" customHeight="1" thickBot="1">
      <c r="A7" s="882" t="s">
        <v>561</v>
      </c>
      <c r="B7" s="883"/>
      <c r="C7" s="884"/>
      <c r="D7" s="881" t="s">
        <v>562</v>
      </c>
      <c r="E7" s="881"/>
      <c r="F7" s="881"/>
      <c r="G7" s="881"/>
      <c r="H7" s="881" t="s">
        <v>567</v>
      </c>
      <c r="I7" s="881"/>
      <c r="J7" s="881"/>
      <c r="K7" s="881"/>
      <c r="L7" s="847" t="s">
        <v>565</v>
      </c>
      <c r="M7" s="848"/>
      <c r="N7" s="849"/>
      <c r="O7" s="270"/>
      <c r="P7" s="269"/>
      <c r="Q7" s="962"/>
      <c r="R7" s="963"/>
      <c r="S7" s="962"/>
      <c r="T7" s="962"/>
    </row>
    <row r="8" spans="1:20" ht="18.75">
      <c r="A8" s="885"/>
      <c r="B8" s="886"/>
      <c r="C8" s="887"/>
      <c r="D8" s="881"/>
      <c r="E8" s="881"/>
      <c r="F8" s="881"/>
      <c r="G8" s="881"/>
      <c r="H8" s="881"/>
      <c r="I8" s="881"/>
      <c r="J8" s="881"/>
      <c r="K8" s="881"/>
      <c r="L8" s="850"/>
      <c r="M8" s="851"/>
      <c r="N8" s="852"/>
      <c r="Q8" s="963"/>
      <c r="R8" s="962"/>
      <c r="S8" s="962"/>
      <c r="T8" s="962"/>
    </row>
    <row r="9" spans="1:20" ht="19.5" customHeight="1">
      <c r="A9" s="885"/>
      <c r="B9" s="886"/>
      <c r="C9" s="887"/>
      <c r="D9" s="881"/>
      <c r="E9" s="881"/>
      <c r="F9" s="881"/>
      <c r="G9" s="881"/>
      <c r="H9" s="881"/>
      <c r="I9" s="881"/>
      <c r="J9" s="881"/>
      <c r="K9" s="881"/>
      <c r="L9" s="850"/>
      <c r="M9" s="851"/>
      <c r="N9" s="852"/>
      <c r="Q9" s="956" t="s">
        <v>481</v>
      </c>
      <c r="R9" s="957"/>
      <c r="S9" s="957"/>
      <c r="T9" s="958"/>
    </row>
    <row r="10" spans="1:20">
      <c r="A10" s="888"/>
      <c r="B10" s="889"/>
      <c r="C10" s="890"/>
      <c r="D10" s="881"/>
      <c r="E10" s="881"/>
      <c r="F10" s="881"/>
      <c r="G10" s="881"/>
      <c r="H10" s="881"/>
      <c r="I10" s="881"/>
      <c r="J10" s="881"/>
      <c r="K10" s="881"/>
      <c r="L10" s="853"/>
      <c r="M10" s="854"/>
      <c r="N10" s="855"/>
      <c r="Q10" s="959"/>
      <c r="R10" s="960"/>
      <c r="S10" s="960"/>
      <c r="T10" s="961"/>
    </row>
    <row r="11" spans="1:20" ht="57" customHeight="1">
      <c r="A11" s="909" t="s">
        <v>531</v>
      </c>
      <c r="B11" s="909"/>
      <c r="C11" s="909"/>
      <c r="D11" s="902"/>
      <c r="E11" s="902"/>
      <c r="F11" s="902"/>
      <c r="G11" s="902"/>
      <c r="H11" s="891"/>
      <c r="I11" s="892"/>
      <c r="J11" s="892"/>
      <c r="K11" s="893"/>
      <c r="L11" s="846">
        <f t="shared" ref="L11:L16" si="0">D11+H11</f>
        <v>0</v>
      </c>
      <c r="M11" s="846"/>
      <c r="N11" s="846"/>
      <c r="Q11" s="950"/>
      <c r="R11" s="951"/>
      <c r="S11" s="951"/>
      <c r="T11" s="952"/>
    </row>
    <row r="12" spans="1:20" ht="56.25" customHeight="1" thickBot="1">
      <c r="A12" s="907" t="s">
        <v>516</v>
      </c>
      <c r="B12" s="907"/>
      <c r="C12" s="907"/>
      <c r="D12" s="903"/>
      <c r="E12" s="903"/>
      <c r="F12" s="903"/>
      <c r="G12" s="903"/>
      <c r="H12" s="862"/>
      <c r="I12" s="863"/>
      <c r="J12" s="863"/>
      <c r="K12" s="864"/>
      <c r="L12" s="846">
        <f t="shared" si="0"/>
        <v>0</v>
      </c>
      <c r="M12" s="846"/>
      <c r="N12" s="846"/>
      <c r="Q12" s="964"/>
      <c r="R12" s="965"/>
      <c r="S12" s="965"/>
      <c r="T12" s="966"/>
    </row>
    <row r="13" spans="1:20" ht="58.5" customHeight="1">
      <c r="A13" s="906" t="s">
        <v>515</v>
      </c>
      <c r="B13" s="906"/>
      <c r="C13" s="906"/>
      <c r="D13" s="904"/>
      <c r="E13" s="904"/>
      <c r="F13" s="904"/>
      <c r="G13" s="904"/>
      <c r="H13" s="859"/>
      <c r="I13" s="860"/>
      <c r="J13" s="860"/>
      <c r="K13" s="861"/>
      <c r="L13" s="846">
        <f t="shared" si="0"/>
        <v>0</v>
      </c>
      <c r="M13" s="846"/>
      <c r="N13" s="846"/>
      <c r="Q13" s="947" t="s">
        <v>566</v>
      </c>
      <c r="R13" s="948"/>
      <c r="S13" s="948"/>
      <c r="T13" s="949"/>
    </row>
    <row r="14" spans="1:20" ht="57" customHeight="1">
      <c r="A14" s="907" t="s">
        <v>514</v>
      </c>
      <c r="B14" s="907"/>
      <c r="C14" s="907"/>
      <c r="D14" s="903"/>
      <c r="E14" s="903"/>
      <c r="F14" s="903"/>
      <c r="G14" s="903"/>
      <c r="H14" s="862"/>
      <c r="I14" s="863"/>
      <c r="J14" s="863"/>
      <c r="K14" s="864"/>
      <c r="L14" s="846">
        <f t="shared" si="0"/>
        <v>0</v>
      </c>
      <c r="M14" s="846"/>
      <c r="N14" s="846"/>
      <c r="Q14" s="959"/>
      <c r="R14" s="960"/>
      <c r="S14" s="960"/>
      <c r="T14" s="961"/>
    </row>
    <row r="15" spans="1:20" ht="57" customHeight="1">
      <c r="A15" s="908" t="s">
        <v>513</v>
      </c>
      <c r="B15" s="908"/>
      <c r="C15" s="908"/>
      <c r="D15" s="905"/>
      <c r="E15" s="905"/>
      <c r="F15" s="905"/>
      <c r="G15" s="905"/>
      <c r="H15" s="865"/>
      <c r="I15" s="866"/>
      <c r="J15" s="866"/>
      <c r="K15" s="867"/>
      <c r="L15" s="846">
        <f t="shared" si="0"/>
        <v>0</v>
      </c>
      <c r="M15" s="846"/>
      <c r="N15" s="846"/>
      <c r="Q15" s="959"/>
      <c r="R15" s="960"/>
      <c r="S15" s="960"/>
      <c r="T15" s="961"/>
    </row>
    <row r="16" spans="1:20" ht="57.75" customHeight="1">
      <c r="A16" s="901" t="s">
        <v>4</v>
      </c>
      <c r="B16" s="901"/>
      <c r="C16" s="901"/>
      <c r="D16" s="856">
        <f>SUM(D11:G15)</f>
        <v>0</v>
      </c>
      <c r="E16" s="857"/>
      <c r="F16" s="857"/>
      <c r="G16" s="858"/>
      <c r="H16" s="856">
        <f>SUM(H11:K15)</f>
        <v>0</v>
      </c>
      <c r="I16" s="857"/>
      <c r="J16" s="857"/>
      <c r="K16" s="858"/>
      <c r="L16" s="846">
        <f t="shared" si="0"/>
        <v>0</v>
      </c>
      <c r="M16" s="846"/>
      <c r="N16" s="846"/>
    </row>
  </sheetData>
  <sheetProtection password="C619" sheet="1" objects="1" scenarios="1" selectLockedCells="1"/>
  <mergeCells count="45">
    <mergeCell ref="A1:N1"/>
    <mergeCell ref="Q1:T2"/>
    <mergeCell ref="A2:C2"/>
    <mergeCell ref="D2:N2"/>
    <mergeCell ref="A3:C3"/>
    <mergeCell ref="D3:N3"/>
    <mergeCell ref="A16:C16"/>
    <mergeCell ref="D11:G11"/>
    <mergeCell ref="D12:G12"/>
    <mergeCell ref="D13:G13"/>
    <mergeCell ref="D14:G14"/>
    <mergeCell ref="D15:G15"/>
    <mergeCell ref="A13:C13"/>
    <mergeCell ref="A14:C14"/>
    <mergeCell ref="A15:C15"/>
    <mergeCell ref="D16:G16"/>
    <mergeCell ref="A11:C11"/>
    <mergeCell ref="A12:C12"/>
    <mergeCell ref="Q4:T6"/>
    <mergeCell ref="Q13:T15"/>
    <mergeCell ref="A5:K5"/>
    <mergeCell ref="A6:K6"/>
    <mergeCell ref="L5:N5"/>
    <mergeCell ref="L6:N6"/>
    <mergeCell ref="A4:C4"/>
    <mergeCell ref="D7:G10"/>
    <mergeCell ref="H7:K10"/>
    <mergeCell ref="A7:C10"/>
    <mergeCell ref="H11:K11"/>
    <mergeCell ref="H12:K12"/>
    <mergeCell ref="D4:G4"/>
    <mergeCell ref="H4:K4"/>
    <mergeCell ref="L4:N4"/>
    <mergeCell ref="L16:N16"/>
    <mergeCell ref="L7:N10"/>
    <mergeCell ref="H16:K16"/>
    <mergeCell ref="Q9:T11"/>
    <mergeCell ref="L11:N11"/>
    <mergeCell ref="L12:N12"/>
    <mergeCell ref="L13:N13"/>
    <mergeCell ref="L14:N14"/>
    <mergeCell ref="L15:N15"/>
    <mergeCell ref="H13:K13"/>
    <mergeCell ref="H14:K14"/>
    <mergeCell ref="H15:K15"/>
  </mergeCells>
  <pageMargins left="0.7" right="0.4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7030A0"/>
  </sheetPr>
  <dimension ref="A1:AG49"/>
  <sheetViews>
    <sheetView topLeftCell="A13" workbookViewId="0">
      <selection activeCell="C32" sqref="C32:D32"/>
    </sheetView>
  </sheetViews>
  <sheetFormatPr defaultColWidth="9.140625" defaultRowHeight="15"/>
  <cols>
    <col min="1" max="1" width="6.42578125" style="271" customWidth="1"/>
    <col min="2" max="2" width="6" style="271" customWidth="1"/>
    <col min="3" max="4" width="6.42578125" style="271" customWidth="1"/>
    <col min="5" max="5" width="7.42578125" style="271" customWidth="1"/>
    <col min="6" max="6" width="7.28515625" style="271" customWidth="1"/>
    <col min="7" max="7" width="8.5703125" style="271" customWidth="1"/>
    <col min="8" max="8" width="7.28515625" style="271" customWidth="1"/>
    <col min="9" max="9" width="6.42578125" style="271" customWidth="1"/>
    <col min="10" max="10" width="7.140625" style="271" customWidth="1"/>
    <col min="11" max="11" width="6.85546875" style="271" customWidth="1"/>
    <col min="12" max="12" width="3.5703125" style="271" customWidth="1"/>
    <col min="13" max="14" width="6.42578125" style="271" customWidth="1"/>
    <col min="15" max="15" width="9.140625" style="271"/>
    <col min="16" max="33" width="9.140625" style="272"/>
    <col min="34" max="16384" width="9.140625" style="271"/>
  </cols>
  <sheetData>
    <row r="1" spans="1:15" ht="25.5" customHeight="1">
      <c r="A1" s="935" t="s">
        <v>482</v>
      </c>
      <c r="B1" s="935"/>
      <c r="C1" s="935"/>
      <c r="D1" s="935"/>
      <c r="E1" s="935"/>
      <c r="F1" s="935"/>
      <c r="G1" s="935"/>
      <c r="H1" s="935"/>
      <c r="I1" s="935"/>
      <c r="J1" s="935"/>
      <c r="K1" s="935"/>
      <c r="L1" s="935"/>
      <c r="M1" s="935"/>
      <c r="N1" s="935"/>
    </row>
    <row r="2" spans="1:15" ht="45" customHeight="1">
      <c r="A2" s="936" t="s">
        <v>560</v>
      </c>
      <c r="B2" s="936"/>
      <c r="C2" s="936"/>
      <c r="D2" s="936"/>
      <c r="E2" s="936"/>
      <c r="F2" s="936"/>
      <c r="G2" s="936"/>
      <c r="H2" s="936"/>
      <c r="I2" s="936"/>
      <c r="J2" s="936"/>
      <c r="K2" s="936"/>
      <c r="L2" s="936"/>
      <c r="M2" s="936"/>
      <c r="N2" s="936"/>
    </row>
    <row r="3" spans="1:15" ht="15" customHeight="1">
      <c r="A3" s="923" t="s">
        <v>129</v>
      </c>
      <c r="B3" s="923"/>
      <c r="C3" s="923"/>
      <c r="D3" s="924" t="str">
        <f>PROPER(IF('us89(1)form'!D2="","",'us89(1)form'!D2))</f>
        <v>Vijay Ranwa</v>
      </c>
      <c r="E3" s="924"/>
      <c r="F3" s="924"/>
      <c r="G3" s="924"/>
      <c r="H3" s="924"/>
      <c r="I3" s="924"/>
      <c r="J3" s="924"/>
      <c r="K3" s="924"/>
      <c r="L3" s="924"/>
      <c r="M3" s="924"/>
      <c r="N3" s="924"/>
      <c r="O3" s="378"/>
    </row>
    <row r="4" spans="1:15" ht="15" customHeight="1">
      <c r="A4" s="923" t="s">
        <v>483</v>
      </c>
      <c r="B4" s="923"/>
      <c r="C4" s="923"/>
      <c r="D4" s="924" t="str">
        <f>PROPER(IF('us89(1)form'!D3="","",'us89(1)form'!D3))</f>
        <v>Headmaster, Govt Secondary School Dhaneru (Bikaner)</v>
      </c>
      <c r="E4" s="924"/>
      <c r="F4" s="924"/>
      <c r="G4" s="924"/>
      <c r="H4" s="924"/>
      <c r="I4" s="924"/>
      <c r="J4" s="924"/>
      <c r="K4" s="924"/>
      <c r="L4" s="924"/>
      <c r="M4" s="924"/>
      <c r="N4" s="924"/>
      <c r="O4" s="378"/>
    </row>
    <row r="5" spans="1:15" ht="15.75" customHeight="1">
      <c r="A5" s="923" t="s">
        <v>479</v>
      </c>
      <c r="B5" s="923"/>
      <c r="C5" s="923"/>
      <c r="D5" s="925" t="str">
        <f>UPPER(IF('us89(1)form'!D4="","",'us89(1)form'!D4))</f>
        <v>BPGPS1184D</v>
      </c>
      <c r="E5" s="925"/>
      <c r="F5" s="925"/>
      <c r="G5" s="925"/>
      <c r="H5" s="925"/>
      <c r="I5" s="923" t="s">
        <v>484</v>
      </c>
      <c r="J5" s="923"/>
      <c r="K5" s="925" t="s">
        <v>485</v>
      </c>
      <c r="L5" s="925"/>
      <c r="M5" s="925"/>
      <c r="N5" s="925"/>
      <c r="O5" s="378"/>
    </row>
    <row r="6" spans="1:15" ht="10.5" customHeight="1">
      <c r="A6" s="926"/>
      <c r="B6" s="926"/>
      <c r="C6" s="926"/>
      <c r="D6" s="926"/>
      <c r="E6" s="926"/>
      <c r="F6" s="926"/>
      <c r="G6" s="926"/>
      <c r="H6" s="926"/>
      <c r="I6" s="926"/>
      <c r="J6" s="926"/>
      <c r="K6" s="926"/>
      <c r="L6" s="926"/>
      <c r="M6" s="926"/>
      <c r="N6" s="926"/>
      <c r="O6" s="272"/>
    </row>
    <row r="7" spans="1:15" ht="26.25" customHeight="1">
      <c r="A7" s="927" t="s">
        <v>529</v>
      </c>
      <c r="B7" s="928"/>
      <c r="C7" s="928"/>
      <c r="D7" s="928"/>
      <c r="E7" s="928"/>
      <c r="F7" s="928"/>
      <c r="G7" s="928"/>
      <c r="H7" s="928"/>
      <c r="I7" s="928"/>
      <c r="J7" s="928"/>
      <c r="K7" s="928"/>
      <c r="L7" s="928"/>
      <c r="M7" s="928"/>
      <c r="N7" s="929"/>
    </row>
    <row r="8" spans="1:15" ht="24" customHeight="1">
      <c r="A8" s="930" t="s">
        <v>530</v>
      </c>
      <c r="B8" s="930"/>
      <c r="C8" s="930"/>
      <c r="D8" s="930"/>
      <c r="E8" s="930"/>
      <c r="F8" s="930"/>
      <c r="G8" s="930"/>
      <c r="H8" s="930"/>
      <c r="I8" s="930"/>
      <c r="J8" s="930"/>
      <c r="K8" s="930"/>
      <c r="L8" s="931">
        <f>'us89(1)form'!H16</f>
        <v>0</v>
      </c>
      <c r="M8" s="931"/>
      <c r="N8" s="931"/>
    </row>
    <row r="9" spans="1:15" ht="24" customHeight="1">
      <c r="A9" s="930" t="s">
        <v>486</v>
      </c>
      <c r="B9" s="930"/>
      <c r="C9" s="930"/>
      <c r="D9" s="930"/>
      <c r="E9" s="930"/>
      <c r="F9" s="930"/>
      <c r="G9" s="930"/>
      <c r="H9" s="930"/>
      <c r="I9" s="930"/>
      <c r="J9" s="930"/>
      <c r="K9" s="930"/>
      <c r="L9" s="932" t="s">
        <v>487</v>
      </c>
      <c r="M9" s="932"/>
      <c r="N9" s="932"/>
    </row>
    <row r="10" spans="1:15" ht="43.5" customHeight="1">
      <c r="A10" s="930" t="s">
        <v>488</v>
      </c>
      <c r="B10" s="930"/>
      <c r="C10" s="930"/>
      <c r="D10" s="930"/>
      <c r="E10" s="930"/>
      <c r="F10" s="930"/>
      <c r="G10" s="930"/>
      <c r="H10" s="930"/>
      <c r="I10" s="930"/>
      <c r="J10" s="930"/>
      <c r="K10" s="930"/>
      <c r="L10" s="932" t="s">
        <v>487</v>
      </c>
      <c r="M10" s="932"/>
      <c r="N10" s="932"/>
    </row>
    <row r="11" spans="1:15" ht="28.5" customHeight="1">
      <c r="A11" s="930" t="s">
        <v>489</v>
      </c>
      <c r="B11" s="930"/>
      <c r="C11" s="930"/>
      <c r="D11" s="930"/>
      <c r="E11" s="930"/>
      <c r="F11" s="930"/>
      <c r="G11" s="930"/>
      <c r="H11" s="930"/>
      <c r="I11" s="930"/>
      <c r="J11" s="930"/>
      <c r="K11" s="930"/>
      <c r="L11" s="932" t="s">
        <v>487</v>
      </c>
      <c r="M11" s="932"/>
      <c r="N11" s="932"/>
    </row>
    <row r="12" spans="1:15" ht="28.5" customHeight="1">
      <c r="A12" s="930" t="s">
        <v>490</v>
      </c>
      <c r="B12" s="930"/>
      <c r="C12" s="930"/>
      <c r="D12" s="930"/>
      <c r="E12" s="930"/>
      <c r="F12" s="930"/>
      <c r="G12" s="930"/>
      <c r="H12" s="930"/>
      <c r="I12" s="930"/>
      <c r="J12" s="930"/>
      <c r="K12" s="930"/>
      <c r="L12" s="924" t="s">
        <v>491</v>
      </c>
      <c r="M12" s="924"/>
      <c r="N12" s="924"/>
    </row>
    <row r="13" spans="1:15">
      <c r="A13" s="937" t="s">
        <v>492</v>
      </c>
      <c r="B13" s="937"/>
      <c r="C13" s="937"/>
      <c r="D13" s="937"/>
      <c r="E13" s="937"/>
      <c r="F13" s="937"/>
      <c r="G13" s="937"/>
      <c r="H13" s="937"/>
      <c r="I13" s="937"/>
      <c r="J13" s="937"/>
      <c r="K13" s="937"/>
      <c r="L13" s="937"/>
      <c r="M13" s="937"/>
      <c r="N13" s="937"/>
    </row>
    <row r="14" spans="1:15">
      <c r="A14" s="938" t="s">
        <v>493</v>
      </c>
      <c r="B14" s="938"/>
      <c r="C14" s="938"/>
      <c r="D14" s="938"/>
      <c r="E14" s="938"/>
      <c r="F14" s="938"/>
      <c r="G14" s="938"/>
      <c r="H14" s="938"/>
      <c r="I14" s="938"/>
      <c r="J14" s="938"/>
      <c r="K14" s="938"/>
      <c r="L14" s="938"/>
      <c r="M14" s="938"/>
      <c r="N14" s="938"/>
    </row>
    <row r="15" spans="1:15" ht="12.75" customHeight="1"/>
    <row r="16" spans="1:15">
      <c r="A16" s="273" t="s">
        <v>494</v>
      </c>
      <c r="B16" s="941">
        <f ca="1">TODAY()</f>
        <v>43031</v>
      </c>
      <c r="C16" s="941"/>
      <c r="D16" s="274"/>
      <c r="E16" s="274"/>
    </row>
    <row r="17" spans="1:14" ht="20.25" customHeight="1">
      <c r="K17" s="939" t="s">
        <v>495</v>
      </c>
      <c r="L17" s="939"/>
      <c r="M17" s="939"/>
      <c r="N17" s="939"/>
    </row>
    <row r="18" spans="1:14">
      <c r="A18" s="272"/>
      <c r="B18" s="272"/>
      <c r="C18" s="272"/>
      <c r="D18" s="272"/>
      <c r="E18" s="272"/>
      <c r="F18" s="272"/>
      <c r="G18" s="272"/>
      <c r="H18" s="272"/>
      <c r="I18" s="272"/>
      <c r="J18" s="272"/>
      <c r="K18" s="272"/>
      <c r="L18" s="272"/>
      <c r="M18" s="272"/>
      <c r="N18" s="272"/>
    </row>
    <row r="19" spans="1:14">
      <c r="A19" s="940" t="s">
        <v>496</v>
      </c>
      <c r="B19" s="940"/>
      <c r="C19" s="940"/>
      <c r="D19" s="940"/>
      <c r="E19" s="940"/>
      <c r="F19" s="940"/>
      <c r="G19" s="940"/>
      <c r="H19" s="940"/>
      <c r="I19" s="940"/>
      <c r="J19" s="940"/>
      <c r="K19" s="940"/>
      <c r="L19" s="940"/>
      <c r="M19" s="940"/>
      <c r="N19" s="940"/>
    </row>
    <row r="20" spans="1:14">
      <c r="A20" s="930" t="s">
        <v>497</v>
      </c>
      <c r="B20" s="930"/>
      <c r="C20" s="930"/>
      <c r="D20" s="930"/>
      <c r="E20" s="930"/>
      <c r="F20" s="930"/>
      <c r="G20" s="930"/>
      <c r="H20" s="930"/>
      <c r="I20" s="930"/>
      <c r="J20" s="930"/>
      <c r="K20" s="930"/>
      <c r="L20" s="934">
        <f>L22-L21</f>
        <v>459650</v>
      </c>
      <c r="M20" s="934"/>
      <c r="N20" s="934"/>
    </row>
    <row r="21" spans="1:14">
      <c r="A21" s="930" t="s">
        <v>498</v>
      </c>
      <c r="B21" s="930"/>
      <c r="C21" s="930"/>
      <c r="D21" s="930"/>
      <c r="E21" s="930"/>
      <c r="F21" s="930"/>
      <c r="G21" s="930"/>
      <c r="H21" s="930"/>
      <c r="I21" s="930"/>
      <c r="J21" s="930"/>
      <c r="K21" s="930"/>
      <c r="L21" s="934">
        <f>L8</f>
        <v>0</v>
      </c>
      <c r="M21" s="934"/>
      <c r="N21" s="934"/>
    </row>
    <row r="22" spans="1:14">
      <c r="A22" s="930" t="s">
        <v>499</v>
      </c>
      <c r="B22" s="930"/>
      <c r="C22" s="930"/>
      <c r="D22" s="930"/>
      <c r="E22" s="930"/>
      <c r="F22" s="930"/>
      <c r="G22" s="930"/>
      <c r="H22" s="930"/>
      <c r="I22" s="930"/>
      <c r="J22" s="930"/>
      <c r="K22" s="930"/>
      <c r="L22" s="934">
        <f>'us89(1)form'!L5</f>
        <v>459650</v>
      </c>
      <c r="M22" s="934"/>
      <c r="N22" s="934"/>
    </row>
    <row r="23" spans="1:14">
      <c r="A23" s="930" t="s">
        <v>500</v>
      </c>
      <c r="B23" s="930"/>
      <c r="C23" s="930"/>
      <c r="D23" s="930"/>
      <c r="E23" s="930"/>
      <c r="F23" s="930"/>
      <c r="G23" s="930"/>
      <c r="H23" s="930"/>
      <c r="I23" s="930"/>
      <c r="J23" s="930"/>
      <c r="K23" s="930"/>
      <c r="L23" s="934">
        <f>COMPUTATION!M46</f>
        <v>10798</v>
      </c>
      <c r="M23" s="934"/>
      <c r="N23" s="934"/>
    </row>
    <row r="24" spans="1:14">
      <c r="A24" s="930" t="s">
        <v>501</v>
      </c>
      <c r="B24" s="930"/>
      <c r="C24" s="930"/>
      <c r="D24" s="930"/>
      <c r="E24" s="930"/>
      <c r="F24" s="930"/>
      <c r="G24" s="930"/>
      <c r="H24" s="930"/>
      <c r="I24" s="930"/>
      <c r="J24" s="930"/>
      <c r="K24" s="930"/>
      <c r="L24" s="933">
        <f>K48</f>
        <v>10797</v>
      </c>
      <c r="M24" s="934"/>
      <c r="N24" s="934"/>
    </row>
    <row r="25" spans="1:14">
      <c r="A25" s="930" t="s">
        <v>502</v>
      </c>
      <c r="B25" s="930"/>
      <c r="C25" s="930"/>
      <c r="D25" s="930"/>
      <c r="E25" s="930"/>
      <c r="F25" s="930"/>
      <c r="G25" s="930"/>
      <c r="H25" s="930"/>
      <c r="I25" s="930"/>
      <c r="J25" s="930"/>
      <c r="K25" s="930"/>
      <c r="L25" s="934">
        <f>L23-L24</f>
        <v>1</v>
      </c>
      <c r="M25" s="934"/>
      <c r="N25" s="934"/>
    </row>
    <row r="26" spans="1:14">
      <c r="A26" s="930" t="s">
        <v>503</v>
      </c>
      <c r="B26" s="930"/>
      <c r="C26" s="930"/>
      <c r="D26" s="930"/>
      <c r="E26" s="930"/>
      <c r="F26" s="930"/>
      <c r="G26" s="930"/>
      <c r="H26" s="930"/>
      <c r="I26" s="930"/>
      <c r="J26" s="930"/>
      <c r="K26" s="930"/>
      <c r="L26" s="934">
        <f>M37</f>
        <v>0</v>
      </c>
      <c r="M26" s="934"/>
      <c r="N26" s="934"/>
    </row>
    <row r="27" spans="1:14" ht="25.5" customHeight="1">
      <c r="A27" s="930" t="s">
        <v>504</v>
      </c>
      <c r="B27" s="930"/>
      <c r="C27" s="930"/>
      <c r="D27" s="930"/>
      <c r="E27" s="930"/>
      <c r="F27" s="930"/>
      <c r="G27" s="930"/>
      <c r="H27" s="930"/>
      <c r="I27" s="930"/>
      <c r="J27" s="930"/>
      <c r="K27" s="930"/>
      <c r="L27" s="942">
        <f>IF(L8&gt;0, L25-L26, 0)</f>
        <v>0</v>
      </c>
      <c r="M27" s="942"/>
      <c r="N27" s="942"/>
    </row>
    <row r="28" spans="1:14" ht="13.5" customHeight="1">
      <c r="A28" s="275"/>
      <c r="B28" s="275"/>
      <c r="C28" s="275"/>
      <c r="D28" s="275"/>
      <c r="E28" s="275"/>
      <c r="F28" s="275"/>
      <c r="G28" s="275"/>
      <c r="H28" s="275"/>
      <c r="I28" s="275"/>
      <c r="J28" s="275"/>
      <c r="K28" s="275"/>
      <c r="L28" s="276"/>
      <c r="M28" s="276"/>
      <c r="N28" s="276"/>
    </row>
    <row r="29" spans="1:14">
      <c r="A29" s="940" t="s">
        <v>505</v>
      </c>
      <c r="B29" s="940"/>
      <c r="C29" s="940"/>
      <c r="D29" s="940"/>
      <c r="E29" s="940"/>
      <c r="F29" s="940"/>
      <c r="G29" s="940"/>
      <c r="H29" s="940"/>
      <c r="I29" s="940"/>
      <c r="J29" s="940"/>
      <c r="K29" s="940"/>
      <c r="L29" s="940"/>
      <c r="M29" s="940"/>
      <c r="N29" s="940"/>
    </row>
    <row r="30" spans="1:14" ht="90" customHeight="1">
      <c r="A30" s="943" t="s">
        <v>506</v>
      </c>
      <c r="B30" s="943"/>
      <c r="C30" s="943" t="s">
        <v>507</v>
      </c>
      <c r="D30" s="943"/>
      <c r="E30" s="943" t="s">
        <v>508</v>
      </c>
      <c r="F30" s="943"/>
      <c r="G30" s="943" t="s">
        <v>509</v>
      </c>
      <c r="H30" s="943"/>
      <c r="I30" s="943" t="s">
        <v>510</v>
      </c>
      <c r="J30" s="943"/>
      <c r="K30" s="943" t="s">
        <v>511</v>
      </c>
      <c r="L30" s="943"/>
      <c r="M30" s="943" t="s">
        <v>512</v>
      </c>
      <c r="N30" s="943"/>
    </row>
    <row r="31" spans="1:14">
      <c r="A31" s="924">
        <v>1</v>
      </c>
      <c r="B31" s="924"/>
      <c r="C31" s="924">
        <v>2</v>
      </c>
      <c r="D31" s="924"/>
      <c r="E31" s="924">
        <v>3</v>
      </c>
      <c r="F31" s="924"/>
      <c r="G31" s="924">
        <v>4</v>
      </c>
      <c r="H31" s="924"/>
      <c r="I31" s="924">
        <v>5</v>
      </c>
      <c r="J31" s="924"/>
      <c r="K31" s="924">
        <v>6</v>
      </c>
      <c r="L31" s="924"/>
      <c r="M31" s="924">
        <v>7</v>
      </c>
      <c r="N31" s="924"/>
    </row>
    <row r="32" spans="1:14">
      <c r="A32" s="924" t="s">
        <v>513</v>
      </c>
      <c r="B32" s="924"/>
      <c r="C32" s="944">
        <f>ROUND('us89(1)form'!D15, -1)</f>
        <v>0</v>
      </c>
      <c r="D32" s="944"/>
      <c r="E32" s="944">
        <f>ROUND('us89(1)form'!H15, -1)</f>
        <v>0</v>
      </c>
      <c r="F32" s="944"/>
      <c r="G32" s="944">
        <f>C32+E32</f>
        <v>0</v>
      </c>
      <c r="H32" s="944"/>
      <c r="I32" s="944">
        <f>SUM(I41:J41)</f>
        <v>0</v>
      </c>
      <c r="J32" s="944"/>
      <c r="K32" s="944">
        <f>SUM(K41:L41)</f>
        <v>0</v>
      </c>
      <c r="L32" s="944"/>
      <c r="M32" s="944">
        <f>K32-I32</f>
        <v>0</v>
      </c>
      <c r="N32" s="944"/>
    </row>
    <row r="33" spans="1:14">
      <c r="A33" s="924" t="s">
        <v>514</v>
      </c>
      <c r="B33" s="924"/>
      <c r="C33" s="944">
        <f>ROUND('us89(1)form'!D14, -1)</f>
        <v>0</v>
      </c>
      <c r="D33" s="944"/>
      <c r="E33" s="944">
        <f>ROUND('us89(1)form'!H14, -1)</f>
        <v>0</v>
      </c>
      <c r="F33" s="944"/>
      <c r="G33" s="944">
        <f>C33+E33</f>
        <v>0</v>
      </c>
      <c r="H33" s="944"/>
      <c r="I33" s="944">
        <f>SUM(I42:J42)</f>
        <v>0</v>
      </c>
      <c r="J33" s="944"/>
      <c r="K33" s="944">
        <f>SUM(K42:L42)</f>
        <v>0</v>
      </c>
      <c r="L33" s="944"/>
      <c r="M33" s="944">
        <f>K33-I33</f>
        <v>0</v>
      </c>
      <c r="N33" s="944"/>
    </row>
    <row r="34" spans="1:14">
      <c r="A34" s="924" t="s">
        <v>515</v>
      </c>
      <c r="B34" s="924"/>
      <c r="C34" s="944">
        <f>ROUND('us89(1)form'!D13, -1)</f>
        <v>0</v>
      </c>
      <c r="D34" s="944"/>
      <c r="E34" s="944">
        <f>ROUND('us89(1)form'!H13, -1)</f>
        <v>0</v>
      </c>
      <c r="F34" s="944"/>
      <c r="G34" s="944">
        <f>C34+E34</f>
        <v>0</v>
      </c>
      <c r="H34" s="944"/>
      <c r="I34" s="944">
        <f>SUM(I43:J43)</f>
        <v>0</v>
      </c>
      <c r="J34" s="944"/>
      <c r="K34" s="944">
        <f>SUM(K43:L43)</f>
        <v>0</v>
      </c>
      <c r="L34" s="944"/>
      <c r="M34" s="944">
        <f>K34-I34</f>
        <v>0</v>
      </c>
      <c r="N34" s="944"/>
    </row>
    <row r="35" spans="1:14">
      <c r="A35" s="924" t="s">
        <v>516</v>
      </c>
      <c r="B35" s="924"/>
      <c r="C35" s="944">
        <f>ROUND('us89(1)form'!D12, -1)</f>
        <v>0</v>
      </c>
      <c r="D35" s="944"/>
      <c r="E35" s="944">
        <f>ROUND('us89(1)form'!H12, 0)</f>
        <v>0</v>
      </c>
      <c r="F35" s="944"/>
      <c r="G35" s="944">
        <f>C35+E35</f>
        <v>0</v>
      </c>
      <c r="H35" s="944"/>
      <c r="I35" s="944">
        <f>SUM(I44:J44)</f>
        <v>0</v>
      </c>
      <c r="J35" s="944"/>
      <c r="K35" s="944">
        <f>SUM(K44:L44)</f>
        <v>0</v>
      </c>
      <c r="L35" s="944"/>
      <c r="M35" s="944">
        <f>K35-I35</f>
        <v>0</v>
      </c>
      <c r="N35" s="944"/>
    </row>
    <row r="36" spans="1:14" ht="15" customHeight="1">
      <c r="A36" s="924" t="s">
        <v>531</v>
      </c>
      <c r="B36" s="924"/>
      <c r="C36" s="944">
        <f>ROUND('us89(1)form'!D11, -1)</f>
        <v>0</v>
      </c>
      <c r="D36" s="944"/>
      <c r="E36" s="944">
        <f>ROUND('us89(1)form'!H11, -1)</f>
        <v>0</v>
      </c>
      <c r="F36" s="944"/>
      <c r="G36" s="944">
        <f>C36+E36</f>
        <v>0</v>
      </c>
      <c r="H36" s="944"/>
      <c r="I36" s="944">
        <f>SUM(I45:J45)</f>
        <v>0</v>
      </c>
      <c r="J36" s="944"/>
      <c r="K36" s="944">
        <f>SUM(K45:L45)</f>
        <v>0</v>
      </c>
      <c r="L36" s="944"/>
      <c r="M36" s="944">
        <f>K36-I36</f>
        <v>0</v>
      </c>
      <c r="N36" s="944"/>
    </row>
    <row r="37" spans="1:14">
      <c r="A37" s="946" t="s">
        <v>4</v>
      </c>
      <c r="B37" s="946"/>
      <c r="C37" s="924"/>
      <c r="D37" s="924"/>
      <c r="E37" s="924"/>
      <c r="F37" s="924"/>
      <c r="G37" s="924"/>
      <c r="H37" s="924"/>
      <c r="I37" s="924"/>
      <c r="J37" s="924"/>
      <c r="K37" s="924"/>
      <c r="L37" s="924"/>
      <c r="M37" s="944">
        <f>M32+M33+M34+M35+M36</f>
        <v>0</v>
      </c>
      <c r="N37" s="944"/>
    </row>
    <row r="39" spans="1:14">
      <c r="A39" s="945"/>
      <c r="B39" s="945"/>
      <c r="C39" s="945"/>
      <c r="D39" s="945"/>
      <c r="E39" s="945"/>
      <c r="F39" s="945"/>
      <c r="G39" s="945"/>
      <c r="H39" s="945"/>
    </row>
    <row r="41" spans="1:14" ht="15" hidden="1" customHeight="1">
      <c r="A41" s="920" t="s">
        <v>513</v>
      </c>
      <c r="B41" s="921"/>
      <c r="I41" s="271">
        <f>IF(C32&gt;1000000, 130000+(C32-1000000)*0.3, IF(C32&gt;500000, 30000+(C32-500000)*0.2, IF(C32&gt;200000, (C32-200000)*0.1, 0)))</f>
        <v>0</v>
      </c>
      <c r="J41" s="288">
        <f t="shared" ref="J41:J47" si="0">ROUND(I41*0.03, 0)</f>
        <v>0</v>
      </c>
      <c r="K41" s="271">
        <f>IF(G32&gt;1000000, 130000+(G32-1000000)*0.3, IF(G32&gt;500000, 30000+(G32-500000)*0.2, IF(G32&gt;200000, (G32-200000)*0.1, 0)))</f>
        <v>0</v>
      </c>
      <c r="L41" s="288">
        <f>ROUND(K41*0.03, 0)</f>
        <v>0</v>
      </c>
    </row>
    <row r="42" spans="1:14" ht="15" hidden="1" customHeight="1">
      <c r="A42" s="920" t="s">
        <v>514</v>
      </c>
      <c r="B42" s="921"/>
      <c r="I42" s="271">
        <f>IF(C33&gt;1000000, 130000+(C33-1000000)*0.3, IF(C33&gt;500000, 30000+(C33-500000)*0.2, IF(C33&gt;220000, (C33-220000)*0.1, 0)))</f>
        <v>0</v>
      </c>
      <c r="J42" s="288">
        <f t="shared" si="0"/>
        <v>0</v>
      </c>
      <c r="K42" s="271">
        <f>IF(G33&gt;1000000, 130000+(G33-1000000)*0.3, IF(G33&gt;500000, 30000+(G33-500000)*0.2, IF(G33&gt;220000, (G33-220000)*0.1, 0)))</f>
        <v>0</v>
      </c>
      <c r="L42" s="288">
        <f t="shared" ref="L42:L45" si="1">ROUND(K42*0.03, 0)</f>
        <v>0</v>
      </c>
    </row>
    <row r="43" spans="1:14" ht="15" hidden="1" customHeight="1">
      <c r="A43" s="920" t="s">
        <v>515</v>
      </c>
      <c r="B43" s="921"/>
      <c r="I43" s="271">
        <f>IF(C34&gt;1000000, 125000+(C34-1000000)*0.3, IF(C34&gt;500000, 25000+(C34-500000)*0.2, IF(C34&gt;270000, (C34-270000)*0.1, 0)))</f>
        <v>0</v>
      </c>
      <c r="J43" s="288">
        <f t="shared" si="0"/>
        <v>0</v>
      </c>
      <c r="K43" s="271">
        <f>IF(G34&gt;1000000, 125000+(G34-1000000)*0.3, IF(G34&gt;500000, 25000+(G34-500000)*0.2, IF(G34&gt;270000, (G34-270000)*0.1, 0)))</f>
        <v>0</v>
      </c>
      <c r="L43" s="288">
        <f t="shared" si="1"/>
        <v>0</v>
      </c>
    </row>
    <row r="44" spans="1:14" ht="15" hidden="1" customHeight="1">
      <c r="A44" s="920" t="s">
        <v>516</v>
      </c>
      <c r="B44" s="921"/>
      <c r="I44" s="271">
        <f>IF(C35&gt;1000000, 125000+(C35-1000000)*0.3, IF(C35&gt;500000, 25000+(C35-500000)*0.2, IF(C35&gt;270000, (C35-270000)*0.1, 0)))</f>
        <v>0</v>
      </c>
      <c r="J44" s="288">
        <f t="shared" si="0"/>
        <v>0</v>
      </c>
      <c r="K44" s="271">
        <f>IF(G35&gt;1000000, 125000+(G35-1000000)*0.3, IF(G35&gt;500000, 25000+(G35-500000)*0.2, IF(G35&gt;270000, (G35-270000)*0.1, 0)))</f>
        <v>0</v>
      </c>
      <c r="L44" s="288">
        <f t="shared" si="1"/>
        <v>0</v>
      </c>
    </row>
    <row r="45" spans="1:14" ht="15" hidden="1" customHeight="1">
      <c r="A45" s="920" t="s">
        <v>531</v>
      </c>
      <c r="B45" s="921"/>
      <c r="I45" s="271">
        <f>IF(C36&gt;1000000, 125000+(C36-1000000)*0.3, IF(C36&gt;500000, 25000+(C36-500000)*0.2, IF(C36&gt;300000, (C36-300000)*0.1, 0)))</f>
        <v>0</v>
      </c>
      <c r="J45" s="288">
        <f t="shared" si="0"/>
        <v>0</v>
      </c>
      <c r="K45" s="271">
        <f>IF(G36&gt;1000000, 125000+(G36-1000000)*0.3, IF(G36&gt;500000, 25000+(G36-500000)*0.2, IF(G36&gt;300000, (G36-300000)*0.1, 0)))</f>
        <v>0</v>
      </c>
      <c r="L45" s="288">
        <f t="shared" si="1"/>
        <v>0</v>
      </c>
    </row>
    <row r="46" spans="1:14" ht="15" hidden="1" customHeight="1">
      <c r="G46" s="922">
        <f>'us89(1)form'!L5-L8</f>
        <v>459650</v>
      </c>
      <c r="H46" s="922"/>
      <c r="I46" s="271">
        <f>IF(G46&gt;1000000, 125000+(G46-1000000)*0.3, IF(G46&gt;500000, 12500+(G46-500000)*0.2, IF(G46&gt;250000, (G46-250000)*0.05, 0)))</f>
        <v>10482.5</v>
      </c>
      <c r="J46" s="288">
        <f t="shared" si="0"/>
        <v>314</v>
      </c>
    </row>
    <row r="47" spans="1:14" hidden="1">
      <c r="I47" s="271">
        <f>IF(G46&lt;350001, 2500, 0)</f>
        <v>0</v>
      </c>
      <c r="J47" s="288">
        <f t="shared" si="0"/>
        <v>0</v>
      </c>
    </row>
    <row r="48" spans="1:14" hidden="1">
      <c r="I48" s="271">
        <f>IF(I46&gt;I47, I46-I47, 0)</f>
        <v>10482.5</v>
      </c>
      <c r="J48" s="288">
        <f>ROUND(I48*0.03, 0)</f>
        <v>314</v>
      </c>
      <c r="K48" s="289">
        <f>ROUND(I48+J48, 0)</f>
        <v>10797</v>
      </c>
    </row>
    <row r="49" hidden="1"/>
  </sheetData>
  <sheetProtection password="C619" sheet="1" objects="1" scenarios="1" selectLockedCells="1"/>
  <mergeCells count="107">
    <mergeCell ref="A39:H39"/>
    <mergeCell ref="A36:B36"/>
    <mergeCell ref="C36:D36"/>
    <mergeCell ref="E36:F36"/>
    <mergeCell ref="G36:H36"/>
    <mergeCell ref="I36:J36"/>
    <mergeCell ref="M35:N35"/>
    <mergeCell ref="A37:B37"/>
    <mergeCell ref="C37:D37"/>
    <mergeCell ref="E37:F37"/>
    <mergeCell ref="G37:H37"/>
    <mergeCell ref="I37:J37"/>
    <mergeCell ref="K37:L37"/>
    <mergeCell ref="M37:N37"/>
    <mergeCell ref="K36:L36"/>
    <mergeCell ref="M36:N36"/>
    <mergeCell ref="A35:B35"/>
    <mergeCell ref="C35:D35"/>
    <mergeCell ref="E35:F35"/>
    <mergeCell ref="G35:H35"/>
    <mergeCell ref="I35:J35"/>
    <mergeCell ref="K35:L35"/>
    <mergeCell ref="M33:N33"/>
    <mergeCell ref="A34:B34"/>
    <mergeCell ref="C34:D34"/>
    <mergeCell ref="E34:F34"/>
    <mergeCell ref="G34:H34"/>
    <mergeCell ref="I34:J34"/>
    <mergeCell ref="K34:L34"/>
    <mergeCell ref="M34:N34"/>
    <mergeCell ref="A33:B33"/>
    <mergeCell ref="C33:D33"/>
    <mergeCell ref="E33:F33"/>
    <mergeCell ref="G33:H33"/>
    <mergeCell ref="I33:J33"/>
    <mergeCell ref="K33:L33"/>
    <mergeCell ref="A30:B30"/>
    <mergeCell ref="C30:D30"/>
    <mergeCell ref="E30:F30"/>
    <mergeCell ref="G30:H30"/>
    <mergeCell ref="I30:J30"/>
    <mergeCell ref="K30:L30"/>
    <mergeCell ref="M30:N30"/>
    <mergeCell ref="M31:N31"/>
    <mergeCell ref="A32:B32"/>
    <mergeCell ref="C32:D32"/>
    <mergeCell ref="E32:F32"/>
    <mergeCell ref="G32:H32"/>
    <mergeCell ref="I32:J32"/>
    <mergeCell ref="K32:L32"/>
    <mergeCell ref="M32:N32"/>
    <mergeCell ref="A31:B31"/>
    <mergeCell ref="C31:D31"/>
    <mergeCell ref="E31:F31"/>
    <mergeCell ref="G31:H31"/>
    <mergeCell ref="I31:J31"/>
    <mergeCell ref="K31:L31"/>
    <mergeCell ref="A21:K21"/>
    <mergeCell ref="L21:N21"/>
    <mergeCell ref="A22:K22"/>
    <mergeCell ref="L22:N22"/>
    <mergeCell ref="A23:K23"/>
    <mergeCell ref="L23:N23"/>
    <mergeCell ref="A27:K27"/>
    <mergeCell ref="L27:N27"/>
    <mergeCell ref="A29:N29"/>
    <mergeCell ref="A1:N1"/>
    <mergeCell ref="A2:N2"/>
    <mergeCell ref="A3:C3"/>
    <mergeCell ref="D3:N3"/>
    <mergeCell ref="A13:N13"/>
    <mergeCell ref="A14:N14"/>
    <mergeCell ref="K17:N17"/>
    <mergeCell ref="A19:N19"/>
    <mergeCell ref="A20:K20"/>
    <mergeCell ref="L20:N20"/>
    <mergeCell ref="A10:K10"/>
    <mergeCell ref="L10:N10"/>
    <mergeCell ref="A11:K11"/>
    <mergeCell ref="L11:N11"/>
    <mergeCell ref="A12:K12"/>
    <mergeCell ref="L12:N12"/>
    <mergeCell ref="B16:C16"/>
    <mergeCell ref="A44:B44"/>
    <mergeCell ref="A45:B45"/>
    <mergeCell ref="G46:H46"/>
    <mergeCell ref="A4:C4"/>
    <mergeCell ref="D4:N4"/>
    <mergeCell ref="A5:C5"/>
    <mergeCell ref="D5:H5"/>
    <mergeCell ref="I5:J5"/>
    <mergeCell ref="A41:B41"/>
    <mergeCell ref="A42:B42"/>
    <mergeCell ref="A43:B43"/>
    <mergeCell ref="K5:N5"/>
    <mergeCell ref="A6:N6"/>
    <mergeCell ref="A7:N7"/>
    <mergeCell ref="A8:K8"/>
    <mergeCell ref="L8:N8"/>
    <mergeCell ref="A9:K9"/>
    <mergeCell ref="L9:N9"/>
    <mergeCell ref="A24:K24"/>
    <mergeCell ref="L24:N24"/>
    <mergeCell ref="A25:K25"/>
    <mergeCell ref="L25:N25"/>
    <mergeCell ref="A26:K26"/>
    <mergeCell ref="L26:N26"/>
  </mergeCells>
  <pageMargins left="0.51181102362204722" right="0.43307086614173229" top="0.51181102362204722" bottom="0.55118110236220474" header="0.31496062992125984" footer="0.31496062992125984"/>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Information &amp; Rules exmpt,Ded</vt:lpstr>
      <vt:lpstr>Home</vt:lpstr>
      <vt:lpstr>G.A. 55</vt:lpstr>
      <vt:lpstr>COMPUTATION</vt:lpstr>
      <vt:lpstr>Partial HRA</vt:lpstr>
      <vt:lpstr>16NO</vt:lpstr>
      <vt:lpstr>us89(1)form</vt:lpstr>
      <vt:lpstr>form10E</vt:lpstr>
      <vt:lpstr>COMPUTATION!Print_Area</vt:lpstr>
      <vt:lpstr>form10E!Print_Area</vt:lpstr>
      <vt:lpstr>'G.A. 55'!Print_Area</vt:lpstr>
      <vt:lpstr>'Partial HRA'!Print_Area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Vijay Ranwa</dc:creator>
  <cp:lastModifiedBy>Vijay</cp:lastModifiedBy>
  <cp:lastPrinted>2017-10-23T13:45:33Z</cp:lastPrinted>
  <dcterms:created xsi:type="dcterms:W3CDTF">2014-10-12T14:48:51Z</dcterms:created>
  <dcterms:modified xsi:type="dcterms:W3CDTF">2017-10-23T14:39:07Z</dcterms:modified>
</cp:coreProperties>
</file>